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 tabRatio="857"/>
  </bookViews>
  <sheets>
    <sheet name="додаток 1" sheetId="6" r:id="rId1"/>
    <sheet name="додаток 2" sheetId="14" r:id="rId2"/>
    <sheet name="додаток 3" sheetId="3" r:id="rId3"/>
    <sheet name="додаток 4" sheetId="4" r:id="rId4"/>
    <sheet name="додаток 5" sheetId="2" r:id="rId5"/>
    <sheet name="додаток 6" sheetId="11" r:id="rId6"/>
    <sheet name="додаток 7" sheetId="5" r:id="rId7"/>
    <sheet name="додаток 8" sheetId="12" r:id="rId8"/>
    <sheet name="додаток 9" sheetId="1" r:id="rId9"/>
    <sheet name="додаток 10" sheetId="8" r:id="rId10"/>
    <sheet name="додаток 11" sheetId="9" r:id="rId11"/>
  </sheets>
  <externalReferences>
    <externalReference r:id="rId12"/>
    <externalReference r:id="rId13"/>
  </externalReferences>
  <definedNames>
    <definedName name="_ftn1" localSheetId="6">'додаток 7'!#REF!</definedName>
    <definedName name="_ftnref1" localSheetId="6">'додаток 7'!$A$37</definedName>
    <definedName name="_GoBack" localSheetId="8">'додаток 9'!$I$1</definedName>
    <definedName name="_xlnm._FilterDatabase" localSheetId="8" hidden="1">'додаток 9'!$A$12:$J$12</definedName>
    <definedName name="_xlnm.Print_Titles" localSheetId="9">'додаток 10'!$11:$11</definedName>
    <definedName name="_xlnm.Print_Titles" localSheetId="10">'додаток 11'!$10:$10</definedName>
    <definedName name="_xlnm.Print_Titles" localSheetId="1">'додаток 2'!$11:$11</definedName>
    <definedName name="_xlnm.Print_Titles" localSheetId="2">'додаток 3'!$11:$11</definedName>
    <definedName name="_xlnm.Print_Titles" localSheetId="5">'додаток 6'!$11:$11</definedName>
    <definedName name="_xlnm.Print_Titles" localSheetId="8">'додаток 9'!$12:$12</definedName>
    <definedName name="_xlnm.Print_Area" localSheetId="0">'додаток 1'!$A$1:$G$44</definedName>
    <definedName name="_xlnm.Print_Area" localSheetId="9">'додаток 10'!$A$1:$G$66</definedName>
    <definedName name="_xlnm.Print_Area" localSheetId="10">'додаток 11'!$A$1:$H$72</definedName>
    <definedName name="_xlnm.Print_Area" localSheetId="1">'додаток 2'!$A$1:$G$92</definedName>
    <definedName name="_xlnm.Print_Area" localSheetId="2">'додаток 3'!$A$1:$G$40</definedName>
    <definedName name="_xlnm.Print_Area" localSheetId="3">'додаток 4'!$A$1:$H$37</definedName>
    <definedName name="_xlnm.Print_Area" localSheetId="4">'додаток 5'!$A$1:$H$49</definedName>
    <definedName name="_xlnm.Print_Area" localSheetId="5">'додаток 6'!$A$1:$G$140</definedName>
    <definedName name="_xlnm.Print_Area" localSheetId="6">'додаток 7'!$A$1:$G$57</definedName>
    <definedName name="_xlnm.Print_Area" localSheetId="7">'додаток 8'!$A$1:$G$33</definedName>
    <definedName name="_xlnm.Print_Area" localSheetId="8">'додаток 9'!$A$1:$J$145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8" l="1"/>
  <c r="D57" i="8"/>
  <c r="C40" i="5"/>
  <c r="H63" i="9" l="1"/>
  <c r="G63" i="9"/>
  <c r="F63" i="9"/>
  <c r="E59" i="9"/>
  <c r="D59" i="9"/>
  <c r="D63" i="9" s="1"/>
  <c r="E57" i="9"/>
  <c r="D57" i="9"/>
  <c r="E55" i="9"/>
  <c r="E63" i="9" s="1"/>
  <c r="D55" i="9"/>
  <c r="E53" i="9"/>
  <c r="D53" i="9"/>
  <c r="E51" i="9"/>
  <c r="D51" i="9"/>
  <c r="E49" i="9"/>
  <c r="D49" i="9"/>
  <c r="E46" i="9"/>
  <c r="D46" i="9"/>
  <c r="E44" i="9"/>
  <c r="D44" i="9"/>
  <c r="E41" i="9"/>
  <c r="D41" i="9"/>
  <c r="E39" i="9"/>
  <c r="D39" i="9"/>
  <c r="E37" i="9"/>
  <c r="D37" i="9"/>
  <c r="E35" i="9"/>
  <c r="D35" i="9"/>
  <c r="E33" i="9"/>
  <c r="D33" i="9"/>
  <c r="E31" i="9"/>
  <c r="D31" i="9"/>
  <c r="E29" i="9"/>
  <c r="D29" i="9"/>
  <c r="E27" i="9"/>
  <c r="D27" i="9"/>
  <c r="E25" i="9"/>
  <c r="D25" i="9"/>
  <c r="E23" i="9"/>
  <c r="D23" i="9"/>
  <c r="E21" i="9"/>
  <c r="D21" i="9"/>
  <c r="E19" i="9"/>
  <c r="H18" i="9"/>
  <c r="G18" i="9"/>
  <c r="F18" i="9"/>
  <c r="E18" i="9"/>
  <c r="D18" i="9"/>
  <c r="E16" i="9"/>
  <c r="D16" i="9"/>
  <c r="E14" i="9"/>
  <c r="D14" i="9"/>
  <c r="H13" i="9"/>
  <c r="G13" i="9"/>
  <c r="G12" i="9" s="1"/>
  <c r="G62" i="9" s="1"/>
  <c r="G61" i="9" s="1"/>
  <c r="F13" i="9"/>
  <c r="F12" i="9" s="1"/>
  <c r="F62" i="9" s="1"/>
  <c r="F61" i="9" s="1"/>
  <c r="E13" i="9"/>
  <c r="E12" i="9" s="1"/>
  <c r="E62" i="9" s="1"/>
  <c r="D13" i="9"/>
  <c r="H12" i="9"/>
  <c r="H62" i="9" s="1"/>
  <c r="H61" i="9" s="1"/>
  <c r="D12" i="9"/>
  <c r="D62" i="9" s="1"/>
  <c r="D43" i="8"/>
  <c r="C43" i="8"/>
  <c r="D24" i="12"/>
  <c r="E23" i="12"/>
  <c r="E22" i="12" s="1"/>
  <c r="G19" i="12"/>
  <c r="G24" i="12" s="1"/>
  <c r="F19" i="12"/>
  <c r="F24" i="12" s="1"/>
  <c r="E19" i="12"/>
  <c r="E24" i="12" s="1"/>
  <c r="D19" i="12"/>
  <c r="C19" i="12"/>
  <c r="C24" i="12" s="1"/>
  <c r="G17" i="12"/>
  <c r="G23" i="12" s="1"/>
  <c r="G22" i="12" s="1"/>
  <c r="F17" i="12"/>
  <c r="F23" i="12" s="1"/>
  <c r="E17" i="12"/>
  <c r="D17" i="12"/>
  <c r="D23" i="12" s="1"/>
  <c r="D22" i="12" s="1"/>
  <c r="C17" i="12"/>
  <c r="C23" i="12" s="1"/>
  <c r="C22" i="12" s="1"/>
  <c r="F16" i="12"/>
  <c r="E16" i="12"/>
  <c r="G14" i="12"/>
  <c r="F14" i="12"/>
  <c r="F12" i="12" s="1"/>
  <c r="E14" i="12"/>
  <c r="D14" i="12"/>
  <c r="C14" i="12"/>
  <c r="G12" i="12"/>
  <c r="E12" i="12"/>
  <c r="D12" i="12"/>
  <c r="C12" i="12"/>
  <c r="G46" i="5"/>
  <c r="F46" i="5"/>
  <c r="E46" i="5"/>
  <c r="D46" i="5"/>
  <c r="C46" i="5"/>
  <c r="C45" i="5"/>
  <c r="C44" i="5"/>
  <c r="G40" i="5"/>
  <c r="F40" i="5"/>
  <c r="E40" i="5"/>
  <c r="D40" i="5"/>
  <c r="D39" i="5"/>
  <c r="G38" i="5"/>
  <c r="F38" i="5"/>
  <c r="E38" i="5"/>
  <c r="E37" i="5" s="1"/>
  <c r="D38" i="5"/>
  <c r="D45" i="5" s="1"/>
  <c r="D44" i="5" s="1"/>
  <c r="G37" i="5"/>
  <c r="F37" i="5"/>
  <c r="D37" i="5"/>
  <c r="C37" i="5"/>
  <c r="G35" i="5"/>
  <c r="G34" i="5" s="1"/>
  <c r="F35" i="5"/>
  <c r="F34" i="5" s="1"/>
  <c r="E35" i="5"/>
  <c r="E34" i="5"/>
  <c r="D34" i="5"/>
  <c r="C34" i="5"/>
  <c r="G32" i="5"/>
  <c r="G31" i="5" s="1"/>
  <c r="F32" i="5"/>
  <c r="F31" i="5" s="1"/>
  <c r="E32" i="5"/>
  <c r="E31" i="5"/>
  <c r="D31" i="5"/>
  <c r="C31" i="5"/>
  <c r="G28" i="5"/>
  <c r="F28" i="5"/>
  <c r="E28" i="5"/>
  <c r="D28" i="5"/>
  <c r="C28" i="5"/>
  <c r="G26" i="5"/>
  <c r="G25" i="5" s="1"/>
  <c r="F26" i="5"/>
  <c r="E26" i="5"/>
  <c r="E25" i="5" s="1"/>
  <c r="F25" i="5"/>
  <c r="D25" i="5"/>
  <c r="C25" i="5"/>
  <c r="G23" i="5"/>
  <c r="G22" i="5" s="1"/>
  <c r="F23" i="5"/>
  <c r="E23" i="5"/>
  <c r="E22" i="5" s="1"/>
  <c r="F22" i="5"/>
  <c r="D22" i="5"/>
  <c r="C22" i="5"/>
  <c r="G19" i="5"/>
  <c r="F19" i="5"/>
  <c r="E19" i="5"/>
  <c r="D19" i="5"/>
  <c r="C19" i="5"/>
  <c r="G17" i="5"/>
  <c r="F17" i="5"/>
  <c r="F16" i="5" s="1"/>
  <c r="E17" i="5"/>
  <c r="G16" i="5"/>
  <c r="E16" i="5"/>
  <c r="D16" i="5"/>
  <c r="C16" i="5"/>
  <c r="G14" i="5"/>
  <c r="G45" i="5" s="1"/>
  <c r="G44" i="5" s="1"/>
  <c r="F14" i="5"/>
  <c r="F13" i="5" s="1"/>
  <c r="E14" i="5"/>
  <c r="G13" i="5"/>
  <c r="E13" i="5"/>
  <c r="D13" i="5"/>
  <c r="C13" i="5"/>
  <c r="D130" i="11"/>
  <c r="G127" i="11"/>
  <c r="G126" i="11" s="1"/>
  <c r="F127" i="11"/>
  <c r="E127" i="11"/>
  <c r="F126" i="11"/>
  <c r="E126" i="11"/>
  <c r="D126" i="11"/>
  <c r="C126" i="11"/>
  <c r="G124" i="11"/>
  <c r="G123" i="11" s="1"/>
  <c r="F124" i="11"/>
  <c r="E124" i="11"/>
  <c r="F123" i="11"/>
  <c r="E123" i="11"/>
  <c r="D123" i="11"/>
  <c r="C123" i="11"/>
  <c r="E121" i="11"/>
  <c r="E120" i="11" s="1"/>
  <c r="G120" i="11"/>
  <c r="F120" i="11"/>
  <c r="D120" i="11"/>
  <c r="C120" i="11"/>
  <c r="E118" i="11"/>
  <c r="G117" i="11"/>
  <c r="F117" i="11"/>
  <c r="E117" i="11"/>
  <c r="D117" i="11"/>
  <c r="C117" i="11"/>
  <c r="G116" i="11"/>
  <c r="G114" i="11" s="1"/>
  <c r="F116" i="11"/>
  <c r="E116" i="11"/>
  <c r="G115" i="11"/>
  <c r="F115" i="11"/>
  <c r="F114" i="11" s="1"/>
  <c r="E115" i="11"/>
  <c r="E114" i="11"/>
  <c r="D114" i="11"/>
  <c r="C114" i="11"/>
  <c r="E112" i="11"/>
  <c r="G111" i="11"/>
  <c r="F111" i="11"/>
  <c r="E111" i="11"/>
  <c r="D111" i="11"/>
  <c r="C111" i="11"/>
  <c r="E109" i="11"/>
  <c r="G108" i="11"/>
  <c r="F108" i="11"/>
  <c r="E108" i="11"/>
  <c r="D108" i="11"/>
  <c r="C108" i="11"/>
  <c r="E106" i="11"/>
  <c r="G105" i="11"/>
  <c r="F105" i="11"/>
  <c r="E105" i="11"/>
  <c r="D105" i="11"/>
  <c r="C105" i="11"/>
  <c r="G103" i="11"/>
  <c r="F103" i="11"/>
  <c r="E103" i="11"/>
  <c r="E102" i="11" s="1"/>
  <c r="G102" i="11"/>
  <c r="F102" i="11"/>
  <c r="D102" i="11"/>
  <c r="C102" i="11"/>
  <c r="E100" i="11"/>
  <c r="G99" i="11"/>
  <c r="F99" i="11"/>
  <c r="E99" i="11"/>
  <c r="D99" i="11"/>
  <c r="C99" i="11"/>
  <c r="G96" i="11"/>
  <c r="F96" i="11"/>
  <c r="E96" i="11"/>
  <c r="D96" i="11"/>
  <c r="C96" i="11"/>
  <c r="G94" i="11"/>
  <c r="G93" i="11" s="1"/>
  <c r="F94" i="11"/>
  <c r="E94" i="11"/>
  <c r="F93" i="11"/>
  <c r="E93" i="11"/>
  <c r="D93" i="11"/>
  <c r="C93" i="11"/>
  <c r="E91" i="11"/>
  <c r="E90" i="11" s="1"/>
  <c r="G90" i="11"/>
  <c r="F90" i="11"/>
  <c r="D90" i="11"/>
  <c r="C90" i="11"/>
  <c r="G89" i="11"/>
  <c r="F89" i="11"/>
  <c r="E89" i="11"/>
  <c r="G88" i="11"/>
  <c r="F88" i="11"/>
  <c r="E88" i="11"/>
  <c r="E87" i="11" s="1"/>
  <c r="G87" i="11"/>
  <c r="F87" i="11"/>
  <c r="D87" i="11"/>
  <c r="C87" i="11"/>
  <c r="G85" i="11"/>
  <c r="F85" i="11"/>
  <c r="E85" i="11"/>
  <c r="E84" i="11" s="1"/>
  <c r="G84" i="11"/>
  <c r="F84" i="11"/>
  <c r="D84" i="11"/>
  <c r="C84" i="11"/>
  <c r="G82" i="11"/>
  <c r="F82" i="11"/>
  <c r="E82" i="11"/>
  <c r="E81" i="11" s="1"/>
  <c r="G81" i="11"/>
  <c r="F81" i="11"/>
  <c r="D81" i="11"/>
  <c r="C81" i="11"/>
  <c r="E79" i="11"/>
  <c r="G78" i="11"/>
  <c r="F78" i="11"/>
  <c r="E78" i="11"/>
  <c r="D78" i="11"/>
  <c r="C78" i="11"/>
  <c r="G77" i="11"/>
  <c r="F77" i="11"/>
  <c r="E77" i="11"/>
  <c r="G76" i="11"/>
  <c r="F76" i="11"/>
  <c r="F75" i="11" s="1"/>
  <c r="E76" i="11"/>
  <c r="E75" i="11" s="1"/>
  <c r="G75" i="11"/>
  <c r="D75" i="11"/>
  <c r="C75" i="11"/>
  <c r="G74" i="11"/>
  <c r="F74" i="11"/>
  <c r="E74" i="11"/>
  <c r="G73" i="11"/>
  <c r="F73" i="11"/>
  <c r="E73" i="11"/>
  <c r="E72" i="11" s="1"/>
  <c r="G72" i="11"/>
  <c r="F72" i="11"/>
  <c r="D72" i="11"/>
  <c r="C72" i="11"/>
  <c r="G70" i="11"/>
  <c r="F70" i="11"/>
  <c r="E70" i="11"/>
  <c r="E69" i="11" s="1"/>
  <c r="G69" i="11"/>
  <c r="F69" i="11"/>
  <c r="D69" i="11"/>
  <c r="C69" i="11"/>
  <c r="G67" i="11"/>
  <c r="F67" i="11"/>
  <c r="E67" i="11"/>
  <c r="E66" i="11" s="1"/>
  <c r="G66" i="11"/>
  <c r="F66" i="11"/>
  <c r="D66" i="11"/>
  <c r="C66" i="11"/>
  <c r="E64" i="11"/>
  <c r="G63" i="11"/>
  <c r="F63" i="11"/>
  <c r="E63" i="11"/>
  <c r="D63" i="11"/>
  <c r="C63" i="11"/>
  <c r="E61" i="11"/>
  <c r="E60" i="11" s="1"/>
  <c r="G60" i="11"/>
  <c r="F60" i="11"/>
  <c r="D60" i="11"/>
  <c r="C60" i="11"/>
  <c r="E58" i="11"/>
  <c r="G57" i="11"/>
  <c r="F57" i="11"/>
  <c r="E57" i="11"/>
  <c r="D57" i="11"/>
  <c r="C57" i="11"/>
  <c r="G56" i="11"/>
  <c r="F56" i="11"/>
  <c r="E56" i="11"/>
  <c r="G55" i="11"/>
  <c r="F55" i="11"/>
  <c r="F54" i="11" s="1"/>
  <c r="E55" i="11"/>
  <c r="E54" i="11" s="1"/>
  <c r="G54" i="11"/>
  <c r="D54" i="11"/>
  <c r="C54" i="11"/>
  <c r="E52" i="11"/>
  <c r="G51" i="11"/>
  <c r="F51" i="11"/>
  <c r="E51" i="11"/>
  <c r="D51" i="11"/>
  <c r="C51" i="11"/>
  <c r="G48" i="11"/>
  <c r="F48" i="11"/>
  <c r="E48" i="11"/>
  <c r="D48" i="11"/>
  <c r="C48" i="11"/>
  <c r="E46" i="11"/>
  <c r="G45" i="11"/>
  <c r="F45" i="11"/>
  <c r="E45" i="11"/>
  <c r="D45" i="11"/>
  <c r="C45" i="11"/>
  <c r="G42" i="11"/>
  <c r="F42" i="11"/>
  <c r="E42" i="11"/>
  <c r="D42" i="11"/>
  <c r="C42" i="11"/>
  <c r="G41" i="11"/>
  <c r="F41" i="11"/>
  <c r="E41" i="11"/>
  <c r="E40" i="11"/>
  <c r="E39" i="11" s="1"/>
  <c r="G39" i="11"/>
  <c r="F39" i="11"/>
  <c r="D39" i="11"/>
  <c r="C39" i="11"/>
  <c r="G38" i="11"/>
  <c r="F38" i="11"/>
  <c r="E38" i="11"/>
  <c r="D38" i="11"/>
  <c r="D36" i="11" s="1"/>
  <c r="C38" i="11"/>
  <c r="C131" i="11" s="1"/>
  <c r="G37" i="11"/>
  <c r="F37" i="11"/>
  <c r="F36" i="11" s="1"/>
  <c r="E37" i="11"/>
  <c r="E36" i="11" s="1"/>
  <c r="C37" i="11"/>
  <c r="C130" i="11" s="1"/>
  <c r="G35" i="11"/>
  <c r="F35" i="11"/>
  <c r="E35" i="11"/>
  <c r="E34" i="11"/>
  <c r="G33" i="11"/>
  <c r="F33" i="11"/>
  <c r="E33" i="11"/>
  <c r="D33" i="11"/>
  <c r="C33" i="11"/>
  <c r="G32" i="11"/>
  <c r="G30" i="11" s="1"/>
  <c r="F32" i="11"/>
  <c r="E32" i="11"/>
  <c r="G31" i="11"/>
  <c r="F31" i="11"/>
  <c r="F30" i="11" s="1"/>
  <c r="E31" i="11"/>
  <c r="E30" i="11"/>
  <c r="D30" i="11"/>
  <c r="C30" i="11"/>
  <c r="G28" i="11"/>
  <c r="F28" i="11"/>
  <c r="F27" i="11" s="1"/>
  <c r="E28" i="11"/>
  <c r="G27" i="11"/>
  <c r="E27" i="11"/>
  <c r="D27" i="11"/>
  <c r="C27" i="11"/>
  <c r="E25" i="11"/>
  <c r="G24" i="11"/>
  <c r="F24" i="11"/>
  <c r="E24" i="11"/>
  <c r="D24" i="11"/>
  <c r="C24" i="11"/>
  <c r="G22" i="11"/>
  <c r="F22" i="11"/>
  <c r="E22" i="11"/>
  <c r="G21" i="11"/>
  <c r="F21" i="11"/>
  <c r="E21" i="11"/>
  <c r="D21" i="11"/>
  <c r="C21" i="11"/>
  <c r="G20" i="11"/>
  <c r="G131" i="11" s="1"/>
  <c r="F20" i="11"/>
  <c r="F131" i="11" s="1"/>
  <c r="E20" i="11"/>
  <c r="E131" i="11" s="1"/>
  <c r="G19" i="11"/>
  <c r="F19" i="11"/>
  <c r="E19" i="11"/>
  <c r="F18" i="11"/>
  <c r="E18" i="11"/>
  <c r="D18" i="11"/>
  <c r="C18" i="11"/>
  <c r="G15" i="11"/>
  <c r="F15" i="11"/>
  <c r="E15" i="11"/>
  <c r="D15" i="11"/>
  <c r="C15" i="11"/>
  <c r="E13" i="11"/>
  <c r="G12" i="11"/>
  <c r="F12" i="11"/>
  <c r="E12" i="11"/>
  <c r="D12" i="11"/>
  <c r="D129" i="11" s="1"/>
  <c r="C12" i="11"/>
  <c r="E39" i="2"/>
  <c r="H33" i="2"/>
  <c r="G33" i="2"/>
  <c r="F33" i="2"/>
  <c r="F39" i="2" s="1"/>
  <c r="E33" i="2"/>
  <c r="D33" i="2"/>
  <c r="H25" i="2"/>
  <c r="H39" i="2" s="1"/>
  <c r="G25" i="2"/>
  <c r="G39" i="2" s="1"/>
  <c r="F25" i="2"/>
  <c r="E25" i="2"/>
  <c r="D25" i="2"/>
  <c r="D39" i="2" s="1"/>
  <c r="E22" i="2"/>
  <c r="H20" i="2"/>
  <c r="G20" i="2"/>
  <c r="F20" i="2"/>
  <c r="E20" i="2"/>
  <c r="D20" i="2"/>
  <c r="H21" i="4"/>
  <c r="G21" i="4"/>
  <c r="G27" i="4" s="1"/>
  <c r="G28" i="4" s="1"/>
  <c r="F21" i="4"/>
  <c r="E21" i="4"/>
  <c r="D21" i="4"/>
  <c r="H13" i="4"/>
  <c r="H27" i="4" s="1"/>
  <c r="H28" i="4" s="1"/>
  <c r="G13" i="4"/>
  <c r="F13" i="4"/>
  <c r="F27" i="4" s="1"/>
  <c r="F28" i="4" s="1"/>
  <c r="E13" i="4"/>
  <c r="E27" i="4" s="1"/>
  <c r="E28" i="4" s="1"/>
  <c r="D13" i="4"/>
  <c r="D27" i="4" s="1"/>
  <c r="D28" i="4" s="1"/>
  <c r="D31" i="3"/>
  <c r="D29" i="3" s="1"/>
  <c r="D30" i="3"/>
  <c r="C30" i="3"/>
  <c r="G28" i="3"/>
  <c r="G27" i="3"/>
  <c r="G26" i="3" s="1"/>
  <c r="F27" i="3"/>
  <c r="F28" i="3" s="1"/>
  <c r="D26" i="3"/>
  <c r="C26" i="3"/>
  <c r="G25" i="3"/>
  <c r="G31" i="3" s="1"/>
  <c r="F25" i="3"/>
  <c r="F31" i="3" s="1"/>
  <c r="E25" i="3"/>
  <c r="D25" i="3"/>
  <c r="C25" i="3"/>
  <c r="C31" i="3" s="1"/>
  <c r="C29" i="3" s="1"/>
  <c r="G24" i="3"/>
  <c r="G30" i="3" s="1"/>
  <c r="G29" i="3" s="1"/>
  <c r="F24" i="3"/>
  <c r="E24" i="3"/>
  <c r="F23" i="3"/>
  <c r="E23" i="3"/>
  <c r="D23" i="3"/>
  <c r="C23" i="3"/>
  <c r="C20" i="3"/>
  <c r="D18" i="3"/>
  <c r="D21" i="3" s="1"/>
  <c r="C18" i="3"/>
  <c r="C16" i="3" s="1"/>
  <c r="G17" i="3"/>
  <c r="F17" i="3"/>
  <c r="E17" i="3"/>
  <c r="D17" i="3"/>
  <c r="D16" i="3" s="1"/>
  <c r="G16" i="3"/>
  <c r="F16" i="3"/>
  <c r="E16" i="3"/>
  <c r="F15" i="3"/>
  <c r="F21" i="3" s="1"/>
  <c r="E15" i="3"/>
  <c r="E21" i="3" s="1"/>
  <c r="G14" i="3"/>
  <c r="G20" i="3" s="1"/>
  <c r="F14" i="3"/>
  <c r="F20" i="3" s="1"/>
  <c r="F19" i="3" s="1"/>
  <c r="E14" i="3"/>
  <c r="E27" i="3" s="1"/>
  <c r="D13" i="3"/>
  <c r="C13" i="3"/>
  <c r="G80" i="14"/>
  <c r="C80" i="14"/>
  <c r="D79" i="14"/>
  <c r="G75" i="14"/>
  <c r="F75" i="14"/>
  <c r="F80" i="14" s="1"/>
  <c r="E75" i="14"/>
  <c r="E80" i="14" s="1"/>
  <c r="D75" i="14"/>
  <c r="D80" i="14" s="1"/>
  <c r="C75" i="14"/>
  <c r="G72" i="14"/>
  <c r="G79" i="14" s="1"/>
  <c r="G78" i="14" s="1"/>
  <c r="F72" i="14"/>
  <c r="F79" i="14" s="1"/>
  <c r="F78" i="14" s="1"/>
  <c r="E72" i="14"/>
  <c r="E79" i="14" s="1"/>
  <c r="E78" i="14" s="1"/>
  <c r="D72" i="14"/>
  <c r="C72" i="14"/>
  <c r="C79" i="14" s="1"/>
  <c r="C78" i="14" s="1"/>
  <c r="D67" i="14"/>
  <c r="D65" i="14" s="1"/>
  <c r="D70" i="14" s="1"/>
  <c r="G65" i="14"/>
  <c r="G70" i="14" s="1"/>
  <c r="F65" i="14"/>
  <c r="F70" i="14" s="1"/>
  <c r="E65" i="14"/>
  <c r="E70" i="14" s="1"/>
  <c r="C65" i="14"/>
  <c r="C70" i="14" s="1"/>
  <c r="G62" i="14"/>
  <c r="G69" i="14" s="1"/>
  <c r="G68" i="14" s="1"/>
  <c r="F62" i="14"/>
  <c r="F69" i="14" s="1"/>
  <c r="F68" i="14" s="1"/>
  <c r="E62" i="14"/>
  <c r="E69" i="14" s="1"/>
  <c r="E68" i="14" s="1"/>
  <c r="D62" i="14"/>
  <c r="D69" i="14" s="1"/>
  <c r="D68" i="14" s="1"/>
  <c r="C62" i="14"/>
  <c r="C69" i="14" s="1"/>
  <c r="C68" i="14" s="1"/>
  <c r="G59" i="14"/>
  <c r="C59" i="14"/>
  <c r="G55" i="14"/>
  <c r="F55" i="14"/>
  <c r="E55" i="14"/>
  <c r="D55" i="14"/>
  <c r="C55" i="14"/>
  <c r="G52" i="14"/>
  <c r="F52" i="14"/>
  <c r="F41" i="14" s="1"/>
  <c r="F60" i="14" s="1"/>
  <c r="F83" i="14" s="1"/>
  <c r="E52" i="14"/>
  <c r="D52" i="14"/>
  <c r="C52" i="14"/>
  <c r="G46" i="14"/>
  <c r="G41" i="14" s="1"/>
  <c r="G60" i="14" s="1"/>
  <c r="G83" i="14" s="1"/>
  <c r="F46" i="14"/>
  <c r="E46" i="14"/>
  <c r="D46" i="14"/>
  <c r="C46" i="14"/>
  <c r="C41" i="14" s="1"/>
  <c r="C60" i="14" s="1"/>
  <c r="C83" i="14" s="1"/>
  <c r="G42" i="14"/>
  <c r="F42" i="14"/>
  <c r="E42" i="14"/>
  <c r="D42" i="14"/>
  <c r="D41" i="14" s="1"/>
  <c r="D60" i="14" s="1"/>
  <c r="D83" i="14" s="1"/>
  <c r="C42" i="14"/>
  <c r="E41" i="14"/>
  <c r="E60" i="14" s="1"/>
  <c r="E83" i="14" s="1"/>
  <c r="G38" i="14"/>
  <c r="F38" i="14"/>
  <c r="E38" i="14"/>
  <c r="D38" i="14"/>
  <c r="C38" i="14"/>
  <c r="E37" i="14"/>
  <c r="E29" i="14" s="1"/>
  <c r="G29" i="14"/>
  <c r="F29" i="14"/>
  <c r="D29" i="14"/>
  <c r="D13" i="14" s="1"/>
  <c r="D59" i="14" s="1"/>
  <c r="C29" i="14"/>
  <c r="E25" i="14"/>
  <c r="E24" i="14"/>
  <c r="E21" i="14"/>
  <c r="E15" i="14"/>
  <c r="G14" i="14"/>
  <c r="F14" i="14"/>
  <c r="E14" i="14"/>
  <c r="D14" i="14"/>
  <c r="C14" i="14"/>
  <c r="G13" i="14"/>
  <c r="F13" i="14"/>
  <c r="F59" i="14" s="1"/>
  <c r="C13" i="14"/>
  <c r="F130" i="11" l="1"/>
  <c r="G130" i="11"/>
  <c r="G36" i="11"/>
  <c r="D61" i="9"/>
  <c r="E61" i="9"/>
  <c r="F22" i="12"/>
  <c r="C16" i="12"/>
  <c r="G16" i="12"/>
  <c r="D16" i="12"/>
  <c r="E45" i="5"/>
  <c r="E44" i="5" s="1"/>
  <c r="F45" i="5"/>
  <c r="F44" i="5" s="1"/>
  <c r="E129" i="11"/>
  <c r="F129" i="11"/>
  <c r="E130" i="11"/>
  <c r="G18" i="11"/>
  <c r="G129" i="11" s="1"/>
  <c r="D131" i="11"/>
  <c r="C36" i="11"/>
  <c r="C129" i="11" s="1"/>
  <c r="E28" i="3"/>
  <c r="E31" i="3" s="1"/>
  <c r="E30" i="3"/>
  <c r="E29" i="3" s="1"/>
  <c r="E26" i="3"/>
  <c r="D20" i="3"/>
  <c r="D19" i="3" s="1"/>
  <c r="G23" i="3"/>
  <c r="E13" i="3"/>
  <c r="G15" i="3"/>
  <c r="C21" i="3"/>
  <c r="C19" i="3" s="1"/>
  <c r="E20" i="3"/>
  <c r="E19" i="3" s="1"/>
  <c r="F26" i="3"/>
  <c r="F30" i="3"/>
  <c r="F29" i="3" s="1"/>
  <c r="F13" i="3"/>
  <c r="D82" i="14"/>
  <c r="D58" i="14"/>
  <c r="D78" i="14"/>
  <c r="E13" i="14"/>
  <c r="E59" i="14" s="1"/>
  <c r="G58" i="14"/>
  <c r="G81" i="14" s="1"/>
  <c r="F58" i="14"/>
  <c r="F81" i="14" s="1"/>
  <c r="F82" i="14"/>
  <c r="C58" i="14"/>
  <c r="C81" i="14" s="1"/>
  <c r="C82" i="14"/>
  <c r="G82" i="14"/>
  <c r="G21" i="3" l="1"/>
  <c r="G19" i="3" s="1"/>
  <c r="G13" i="3"/>
  <c r="E58" i="14"/>
  <c r="E81" i="14" s="1"/>
  <c r="E82" i="14"/>
  <c r="D81" i="14"/>
  <c r="D17" i="6" l="1"/>
  <c r="F18" i="6"/>
  <c r="C27" i="6"/>
  <c r="C28" i="6"/>
  <c r="C17" i="6"/>
  <c r="C18" i="6"/>
  <c r="F17" i="6"/>
  <c r="E17" i="6"/>
  <c r="G18" i="6"/>
  <c r="G17" i="6" l="1"/>
  <c r="D18" i="6"/>
  <c r="D16" i="6" s="1"/>
  <c r="C26" i="6"/>
  <c r="E18" i="6" l="1"/>
  <c r="D36" i="6" l="1"/>
  <c r="E14" i="6" l="1"/>
  <c r="F29" i="6" l="1"/>
  <c r="E29" i="6"/>
  <c r="D29" i="6"/>
  <c r="G29" i="6"/>
  <c r="C29" i="6"/>
  <c r="D27" i="6" l="1"/>
  <c r="G28" i="6" l="1"/>
  <c r="F28" i="6"/>
  <c r="E28" i="6"/>
  <c r="E35" i="6" s="1"/>
  <c r="F32" i="6"/>
  <c r="E32" i="6"/>
  <c r="D31" i="6"/>
  <c r="D34" i="6" s="1"/>
  <c r="E31" i="6"/>
  <c r="F31" i="6"/>
  <c r="G31" i="6"/>
  <c r="C31" i="6"/>
  <c r="C34" i="6" s="1"/>
  <c r="F35" i="6" l="1"/>
  <c r="C32" i="6"/>
  <c r="C35" i="6" s="1"/>
  <c r="C33" i="6" s="1"/>
  <c r="G32" i="6"/>
  <c r="G35" i="6" s="1"/>
  <c r="F21" i="6"/>
  <c r="C21" i="6"/>
  <c r="G21" i="6"/>
  <c r="D21" i="6"/>
  <c r="E21" i="6"/>
  <c r="D32" i="6"/>
  <c r="G27" i="6" l="1"/>
  <c r="G34" i="6" s="1"/>
  <c r="F27" i="6"/>
  <c r="F34" i="6" s="1"/>
  <c r="E27" i="6"/>
  <c r="E34" i="6" s="1"/>
  <c r="E36" i="6"/>
  <c r="F36" i="6"/>
  <c r="G36" i="6"/>
  <c r="D14" i="6" l="1"/>
  <c r="F14" i="6"/>
  <c r="G14" i="6"/>
  <c r="D15" i="6"/>
  <c r="E15" i="6"/>
  <c r="F15" i="6"/>
  <c r="G15" i="6"/>
  <c r="D20" i="6"/>
  <c r="E20" i="6"/>
  <c r="F20" i="6"/>
  <c r="G20" i="6"/>
  <c r="D23" i="6" l="1"/>
  <c r="D13" i="6"/>
  <c r="E13" i="6"/>
  <c r="F13" i="6"/>
  <c r="G13" i="6"/>
  <c r="C15" i="6"/>
  <c r="C24" i="6" s="1"/>
  <c r="C14" i="6"/>
  <c r="C13" i="6" l="1"/>
  <c r="D24" i="6" l="1"/>
  <c r="G19" i="6" l="1"/>
  <c r="C20" i="6"/>
  <c r="C19" i="6" l="1"/>
  <c r="C23" i="6"/>
  <c r="C22" i="6" s="1"/>
  <c r="E19" i="6"/>
  <c r="D30" i="6"/>
  <c r="C30" i="6"/>
  <c r="F30" i="6"/>
  <c r="F19" i="6"/>
  <c r="D19" i="6"/>
  <c r="G30" i="6"/>
  <c r="E30" i="6"/>
  <c r="D28" i="6" l="1"/>
  <c r="D35" i="6" s="1"/>
  <c r="D33" i="6" l="1"/>
  <c r="G26" i="6"/>
  <c r="E26" i="6"/>
  <c r="F26" i="6"/>
  <c r="D26" i="6"/>
  <c r="E33" i="6" l="1"/>
  <c r="G33" i="6"/>
  <c r="F33" i="6"/>
  <c r="D22" i="6" l="1"/>
  <c r="C16" i="6"/>
  <c r="F23" i="6" l="1"/>
  <c r="E23" i="6"/>
  <c r="G23" i="6"/>
  <c r="G24" i="6" l="1"/>
  <c r="G16" i="6"/>
  <c r="F24" i="6" l="1"/>
  <c r="E24" i="6"/>
  <c r="E16" i="6"/>
  <c r="F16" i="6"/>
  <c r="G22" i="6"/>
  <c r="F22" i="6" l="1"/>
  <c r="E22" i="6"/>
</calcChain>
</file>

<file path=xl/sharedStrings.xml><?xml version="1.0" encoding="utf-8"?>
<sst xmlns="http://schemas.openxmlformats.org/spreadsheetml/2006/main" count="1319" uniqueCount="407">
  <si>
    <t>(код бюджету)</t>
  </si>
  <si>
    <t xml:space="preserve"> (грн)</t>
  </si>
  <si>
    <t>№ з/п</t>
  </si>
  <si>
    <t>Найменування показника</t>
  </si>
  <si>
    <t>1.</t>
  </si>
  <si>
    <t>2.</t>
  </si>
  <si>
    <t>3.</t>
  </si>
  <si>
    <t>1.1</t>
  </si>
  <si>
    <t>1.2</t>
  </si>
  <si>
    <t>Х</t>
  </si>
  <si>
    <t>в іноземній валюті</t>
  </si>
  <si>
    <t>(грн)</t>
  </si>
  <si>
    <t>Код</t>
  </si>
  <si>
    <t xml:space="preserve">Найменування показника </t>
  </si>
  <si>
    <t>Внутрішнє фінансування, у тому числі:</t>
  </si>
  <si>
    <t>загальний фонд</t>
  </si>
  <si>
    <t>спеціальний фонд</t>
  </si>
  <si>
    <t>Зовнішнє фінансування, у тому числі:</t>
  </si>
  <si>
    <t>УСЬОГО за розділом І, у тому числі:</t>
  </si>
  <si>
    <t>Фінансування за борговими операціями, у тому числі:</t>
  </si>
  <si>
    <t>УСЬОГО за розділом ІІ, у тому числі:</t>
  </si>
  <si>
    <t xml:space="preserve"> </t>
  </si>
  <si>
    <t>Показники місцевого боргу</t>
  </si>
  <si>
    <t xml:space="preserve">Код </t>
  </si>
  <si>
    <t>за Типовою програмною класифікацією видатків та кредитування місцевого бюджету</t>
  </si>
  <si>
    <t>Державне управління, у тому числі:</t>
  </si>
  <si>
    <t>Освіта, у тому числі:</t>
  </si>
  <si>
    <t>Охорона здоров’я, у тому числі:</t>
  </si>
  <si>
    <t>Соціальний захист та соціальне забезпечення, у тому числі:</t>
  </si>
  <si>
    <t>Культура і мистецтво, у тому числі:</t>
  </si>
  <si>
    <t>Фізична культура і спорт, у тому числі:</t>
  </si>
  <si>
    <t>Житлово-комунальне господарство, у тому числі:</t>
  </si>
  <si>
    <t>Економічна діяльність, у тому числі:</t>
  </si>
  <si>
    <t>Міжбюджетні трансферти, у тому числі:</t>
  </si>
  <si>
    <t>реверсна дотація</t>
  </si>
  <si>
    <t>УСЬОГО, у тому числі:</t>
  </si>
  <si>
    <t>I. Загальні граничні показники надходжень</t>
  </si>
  <si>
    <t>Доходи (з міжбюджетними трансфертами), у тому числі:</t>
  </si>
  <si>
    <t>Фінансування, у тому числі:</t>
  </si>
  <si>
    <t>Повернення кредитів, у тому числі:</t>
  </si>
  <si>
    <t>УСЬОГО за розділом I, у тому числі:</t>
  </si>
  <si>
    <t>II. Загальні граничні показники видатків та надання кредитів</t>
  </si>
  <si>
    <t>Видатки (з міжбюджетними трансфертами), у тому числі:</t>
  </si>
  <si>
    <t>УСЬОГО за розділом II, у тому числі:</t>
  </si>
  <si>
    <t>Код відомчої класифікації</t>
  </si>
  <si>
    <t>Найменування головного розпорядника коштів місцевого бюджету</t>
  </si>
  <si>
    <t>Інша діяльність, у тому числі:</t>
  </si>
  <si>
    <t>загальний фонд, у тому числі:</t>
  </si>
  <si>
    <t>0100</t>
  </si>
  <si>
    <t>Надання кредитів, у тому числі:</t>
  </si>
  <si>
    <t>Кредитування (результат), у тому числі:</t>
  </si>
  <si>
    <t>УСЬОГО</t>
  </si>
  <si>
    <t>Показники міжбюджетних трансфертів з інших бюджетів</t>
  </si>
  <si>
    <t>I. Трансферти до загального фонду бюджету</t>
  </si>
  <si>
    <t>II. Трансферти до спеціального фонду бюджету</t>
  </si>
  <si>
    <t>РАЗОМ за розділами I, II, у тому числі:</t>
  </si>
  <si>
    <t>Показники міжбюджетних трансфертів іншим бюджетам</t>
  </si>
  <si>
    <t>I. Трансферти із загального фонду бюджету</t>
  </si>
  <si>
    <t>II. Трансферти із спеціального фонду бюджету</t>
  </si>
  <si>
    <t>Загальний фонд, у тому числі:</t>
  </si>
  <si>
    <t>Спеціальний фонд, у тому числі:</t>
  </si>
  <si>
    <r>
      <t>8000</t>
    </r>
    <r>
      <rPr>
        <b/>
        <vertAlign val="superscript"/>
        <sz val="12"/>
        <rFont val="Arial"/>
        <family val="2"/>
        <charset val="204"/>
      </rPr>
      <t>1</t>
    </r>
  </si>
  <si>
    <t>Реверсна дотація</t>
  </si>
  <si>
    <t>Державний бюджет України</t>
  </si>
  <si>
    <t>Освітня субвенція з державного бюджету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</si>
  <si>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</si>
  <si>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</si>
  <si>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Обласний бюджет Львівської області</t>
  </si>
  <si>
    <t>Субвенція з місцевого бюджету державному бюджету на виконання програм соціально-економічного розвитку регіонів</t>
  </si>
  <si>
    <t>Податок та збір на доходи фізичних осіб</t>
  </si>
  <si>
    <t>Податок на прибуток підприємств</t>
  </si>
  <si>
    <t>Рентна плата за спеціальне використання лісових ресурсів</t>
  </si>
  <si>
    <t>Рентна плата за користування надрами загальнодержавного значення</t>
  </si>
  <si>
    <t>Акцизний податок з вироблених в Україні підакцизних товарів (продукції)</t>
  </si>
  <si>
    <t>Акцизний податок з ввезених на митну територію України підакцизних товарів (продукції)</t>
  </si>
  <si>
    <t>Акцизний податок з реалізації суб'єктами господарювання роздрібної торгівлі підакцизних товарів</t>
  </si>
  <si>
    <t>Податок на майно</t>
  </si>
  <si>
    <t>Збір за місця для паркування транспортних засобів</t>
  </si>
  <si>
    <t>Туристичний збір</t>
  </si>
  <si>
    <t>Єдиний податок</t>
  </si>
  <si>
    <t>Податки і збори, не віднесені до інших категорій, та кошти, що передаються (отримуються) відповідно до бюджетного законодавства</t>
  </si>
  <si>
    <t>Інші надходження</t>
  </si>
  <si>
    <t>Плата за надання адміністративних послуг</t>
  </si>
  <si>
    <t>Державне мито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</si>
  <si>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</si>
  <si>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Надходження коштів від Державного фонду дорогоцінних металів і дорогоцінного каміння</t>
  </si>
  <si>
    <t>Екологічний податок</t>
  </si>
  <si>
    <t>Доходи від операцій з кредитування та надання гарантій</t>
  </si>
  <si>
    <t>Надходження коштів пайової участі у розвитку інфраструктури населеного пункту</t>
  </si>
  <si>
    <t>Інші джерела власних надходжень бюджетних установ</t>
  </si>
  <si>
    <t>Кошти від відчуження майна, що належить Автономній Республіці Крим та майна, що перебуває в комунальній власності</t>
  </si>
  <si>
    <t>Кошти від продажу землі</t>
  </si>
  <si>
    <t>Субвенція з місцевого бюджету за рахунок залишку коштів освітньої субвенції, що утворився на початок бюджетного періоду</t>
  </si>
  <si>
    <t>спеціальний фонд, у тому числі:</t>
  </si>
  <si>
    <t>публічні інвестиції</t>
  </si>
  <si>
    <t>2027 рік 
(план)</t>
  </si>
  <si>
    <t>2028 рік 
(план)</t>
  </si>
  <si>
    <t>I. Доходи (без урахування міжбюджетних трансфертів)</t>
  </si>
  <si>
    <t>Податкові надходження, у тому числі:</t>
  </si>
  <si>
    <t>Неподаткові надходження, у тому числі:</t>
  </si>
  <si>
    <t>Доходи від операцій з капіталом, у тому числі:</t>
  </si>
  <si>
    <t>Від Європейського Союзу, урядів іноземних держав, міжнародних організацій, донорських установ</t>
  </si>
  <si>
    <t>II. Трансферти з державного бюджету</t>
  </si>
  <si>
    <t>III. Трансферти з інших місцевих бюджетів</t>
  </si>
  <si>
    <t>УСЬОГО за розділом III, у тому числі:</t>
  </si>
  <si>
    <t>РАЗОМ за розділами I, II та III, у тому числі:</t>
  </si>
  <si>
    <t>Гранти, що надійшли до місцевих бюджетів</t>
  </si>
  <si>
    <t>Надходження в рамках програм допомоги урядів іноземних держав, міжнародних організацій, донорських установ</t>
  </si>
  <si>
    <t>Надходження від орендної плати за користування єдиним майновим комплексом та іншим державним майном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</si>
  <si>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</si>
  <si>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I. Фінансування за типом кредитора</t>
  </si>
  <si>
    <t>II. Фінансування за типом боргового зобов’язання</t>
  </si>
  <si>
    <t xml:space="preserve">Код валюти </t>
  </si>
  <si>
    <t>Місцевий борг (на кінець періоду)</t>
  </si>
  <si>
    <t>Внутрішній борг, всього:</t>
  </si>
  <si>
    <t xml:space="preserve">у національній валюті </t>
  </si>
  <si>
    <t>гривневий еквівалент іноземної валюти</t>
  </si>
  <si>
    <t>у тому числі внутрішній борг відповідно до укладених кредитних договорів, емісії облігацій місцевих позик:</t>
  </si>
  <si>
    <t>Зовнішній борг, всього:</t>
  </si>
  <si>
    <t>у тому числі зовнішній борг відповідно до укладених кредитних договорів, емісії облігацій місцевих позик:</t>
  </si>
  <si>
    <t>РАЗОМ у національній валюті</t>
  </si>
  <si>
    <t>у тому числі разом за місцевим боргом відповідно до укладених кредитних договорів, емісії облігацій місцевих позик</t>
  </si>
  <si>
    <t>Показники надання місцевих гарантій, обсягу гарантійних зобов’язань та</t>
  </si>
  <si>
    <t>І. Надання місцевих гарантій</t>
  </si>
  <si>
    <t>у гривневому еквіваленті іноземної валюти</t>
  </si>
  <si>
    <t>ІІ. Обсяг гарантійних зобов’язань</t>
  </si>
  <si>
    <t>Платежі, пов’язані з виконанням гарантійних зобов’язань Автономної Республіки Крим, обласної ради, міської, селищної чи сільської територіальної громади, всього</t>
  </si>
  <si>
    <t>у тому числі платежі, пов’язані з виконанням гарантійних зобов’язань Автономної Республіки Крим, обласної ради, міської, селищної чи сільської територіальної громади відповідно до укладених правочинів щодо надання місцевих гарантій</t>
  </si>
  <si>
    <t xml:space="preserve">в іноземній валюті </t>
  </si>
  <si>
    <t>у тому числі внутрішній борг відповідно до укладених правочинів щодо надання місцевих гарантій</t>
  </si>
  <si>
    <t>у тому числі зовнішній борг відповідно до укладених правочинів щодо надання місцевих гарантій</t>
  </si>
  <si>
    <t>у тому числі разом за місцевим боргом відповідно до укладених правочинів щодо надання місцевих гарантій</t>
  </si>
  <si>
    <t>Обсяг надання внутрішніх гарантій:</t>
  </si>
  <si>
    <t>Обсяг надання зовнішніх гарантій:</t>
  </si>
  <si>
    <t xml:space="preserve">РАЗОМ за розділом І у національній валюті </t>
  </si>
  <si>
    <t>ІIІ. Гарантований Автономною Республікою Крим, обласною радою, міською, селищною чи сільською територіальною громадою боргу (на кінець періоду)</t>
  </si>
  <si>
    <t>Найменування документа стратегічного планування (програмного документа)</t>
  </si>
  <si>
    <t>Код
відомчої класифікації</t>
  </si>
  <si>
    <t>Галузь (сектор), 
у тому числі основні (пріоритетні) напрями 
публічних інвестицій</t>
  </si>
  <si>
    <t>Загальний обсяг 
публічних інвестицій у розрізі галузей (секторів)</t>
  </si>
  <si>
    <t>В тому числі за роками:</t>
  </si>
  <si>
    <t>Код Класифікації доходу бюджету /
код бюджету</t>
  </si>
  <si>
    <t>Найменування трансферту /
найменування бюджету - надавача міжбюджетного трансферту</t>
  </si>
  <si>
    <t>Код Програмної класифікації видатків та кредитування місцевого бюджету /
код бюджету</t>
  </si>
  <si>
    <t>Код Типової програмної класифікації видатків та кредитування місцевого бюджету</t>
  </si>
  <si>
    <t>Найменування трансферту /
найменування бюджету - отримувача міжбюджетного трансферту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</si>
  <si>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</si>
  <si>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</si>
  <si>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</si>
  <si>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Інші дотації з місцевого бюджету</t>
  </si>
  <si>
    <t>Бюджет Бібрської міської територіальної громади</t>
  </si>
  <si>
    <t>Субвенція з державного бюджету місцевим бюджетам на реалізацію проектів в рамках Надзвичайної кредитної програми для відновлення України</t>
  </si>
  <si>
    <t xml:space="preserve">3719110  </t>
  </si>
  <si>
    <t xml:space="preserve">9110     </t>
  </si>
  <si>
    <t xml:space="preserve">0719770  </t>
  </si>
  <si>
    <t xml:space="preserve">9770     </t>
  </si>
  <si>
    <t xml:space="preserve">2719770  </t>
  </si>
  <si>
    <t xml:space="preserve">9800     </t>
  </si>
  <si>
    <t xml:space="preserve">2719800  </t>
  </si>
  <si>
    <t xml:space="preserve">4719800  </t>
  </si>
  <si>
    <t xml:space="preserve">1219770  </t>
  </si>
  <si>
    <t>Бюджет Буської міської територіальної громади</t>
  </si>
  <si>
    <t>Бюджет Стрийської міської територіальної громади</t>
  </si>
  <si>
    <t xml:space="preserve">1819800  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</si>
  <si>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</si>
  <si>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</si>
  <si>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Плата за ліцензії у сфері діяльності з організації та проведення азартних ігор і за ліцензії на випуск та проведення лотерей</t>
  </si>
  <si>
    <t>Керуючий справами виконавчого комітету</t>
  </si>
  <si>
    <t>Євген БОЙКО</t>
  </si>
  <si>
    <t xml:space="preserve">      Візи:</t>
  </si>
  <si>
    <t>Директорка департаменту фінансової політики</t>
  </si>
  <si>
    <t>Вікторія ДОВЖИК</t>
  </si>
  <si>
    <t>Заступниця директора департаменту фінансової</t>
  </si>
  <si>
    <t>політики - начальниця управління бюджету</t>
  </si>
  <si>
    <t>Ліліана РИМАР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</si>
  <si>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</si>
  <si>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</si>
  <si>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</si>
  <si>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Загальні показники бюджету Львівської міської територіальної громади</t>
  </si>
  <si>
    <t>Показники доходів бюджету Львівської міської територіальної громади</t>
  </si>
  <si>
    <t>Показники фінансування бюджету Львівської міської територіальної громади</t>
  </si>
  <si>
    <t>Граничні показники видатків бюджету Львівської міської територіальної громади</t>
  </si>
  <si>
    <t>Граничні показники кредитування бюджету Львівської міської територіальної громади за Типовою програмною класифікацією видатків та кредитування місцевого бюджету</t>
  </si>
  <si>
    <t>гарантованого Львівською міською територіальною громадою боргу</t>
  </si>
  <si>
    <t>Граничні показники видатків бюджету Львівської міської територіальної громади та 
надання кредитів з бюджету Львівської міської територіальної громади головним розпорядникам коштів</t>
  </si>
  <si>
    <t xml:space="preserve">РАЗОМ за розділом ІІІ у національній валюті </t>
  </si>
  <si>
    <t>UAH</t>
  </si>
  <si>
    <t>EUR</t>
  </si>
  <si>
    <t xml:space="preserve">                   Додаток 6</t>
  </si>
  <si>
    <t xml:space="preserve">                  Додаток 7</t>
  </si>
  <si>
    <r>
      <rPr>
        <vertAlign val="superscript"/>
        <sz val="12"/>
        <rFont val="Arial"/>
        <family val="2"/>
        <charset val="204"/>
      </rPr>
      <t>1 </t>
    </r>
    <r>
      <rPr>
        <sz val="12"/>
        <rFont val="Arial"/>
        <family val="2"/>
        <charset val="204"/>
      </rPr>
      <t>Без урахування коду Типової програмної класифікації видатків та кредитування місцевого бюджету, затвердженої наказом Міністерства фінансів України від 20 вересня 2017 року № 793 (у редакції наказу Міністерства фінансів України від 17 грудня 2020 року № 781), 8753 та кодів розділу 8800 "Кредитування".</t>
    </r>
  </si>
  <si>
    <t>№                  з/п</t>
  </si>
  <si>
    <t xml:space="preserve">                  Додаток 9</t>
  </si>
  <si>
    <t xml:space="preserve">                    Додаток 2</t>
  </si>
  <si>
    <t>Муніципальна інфраструктура та послуги</t>
  </si>
  <si>
    <t>-</t>
  </si>
  <si>
    <t>Створення безбар'єрних маршрутів у населених пунктах</t>
  </si>
  <si>
    <t>Стратегія розвитку Львівської міської територіальної громади на 2026 – 2028 роки</t>
  </si>
  <si>
    <t>1.3</t>
  </si>
  <si>
    <t>Відновлення, модернізація та розвиток систем централізованого та децентралізованого теплопостачання</t>
  </si>
  <si>
    <t>1.4</t>
  </si>
  <si>
    <t>Відновлення, розвиток та модернізація інфраструктури централізованого водопостачання та водовідведення, в тому числі з впровадженням альтернативних джерел енергії</t>
  </si>
  <si>
    <t>1.5</t>
  </si>
  <si>
    <t>1.6</t>
  </si>
  <si>
    <t>Створення безбар’єрних маршрутів у населених пунктах</t>
  </si>
  <si>
    <t>Енергетика</t>
  </si>
  <si>
    <t>2.1</t>
  </si>
  <si>
    <t>Створення нових, розширення, реконструкція, технічне переоснащення діючих об’єктів енергетичної інфраструктури (високовольтні лінії електропередачі, підстанції, високовольтне обладнання, тощо)</t>
  </si>
  <si>
    <t>Житло</t>
  </si>
  <si>
    <t>3.1</t>
  </si>
  <si>
    <t>3.2</t>
  </si>
  <si>
    <t>Відновлення, модернізація та захист об’єктів критичної інфраструктури для забезпечення їх стійкості до загроз та безперервності надання життєво важливих послуг</t>
  </si>
  <si>
    <t>3.3</t>
  </si>
  <si>
    <t>3.4</t>
  </si>
  <si>
    <t>4.1</t>
  </si>
  <si>
    <t>Соціальна сфера</t>
  </si>
  <si>
    <t>5.1</t>
  </si>
  <si>
    <t>Культура та інформація</t>
  </si>
  <si>
    <t>6.1</t>
  </si>
  <si>
    <t>Освіта і наука</t>
  </si>
  <si>
    <t>Охорона здоров’я</t>
  </si>
  <si>
    <t>Забезпечення медичних закладів сучасним обладнанням та медичними виробами</t>
  </si>
  <si>
    <t>Підтримка материнства та дитинства в Україні</t>
  </si>
  <si>
    <t>Розвиток інфраструктури публічних просторів на території населених пунктів</t>
  </si>
  <si>
    <t>2.2</t>
  </si>
  <si>
    <t>Відновлення доступу громадян до якісних культурних послуг шляхом створення (будівництво, модернізація) сучасних центрів культурних послуг</t>
  </si>
  <si>
    <t>Реновація, модернізація, інклюзивна адаптація житлового фонду</t>
  </si>
  <si>
    <t>4.2</t>
  </si>
  <si>
    <t>Покращення житлових умов дітей-сиріт, дітей, позбавлених батьківського піклування</t>
  </si>
  <si>
    <t>Громадська безпека</t>
  </si>
  <si>
    <t>Забезпечення ефективного реагування на надзвичайні ситуації, підвищення безпеки громадян Львівської МТГ</t>
  </si>
  <si>
    <t>Забезпечення заходів щодо соціально-економічного розвитку територій у Львівській МТГ</t>
  </si>
  <si>
    <t>Довкілля</t>
  </si>
  <si>
    <t>Комплексний розвиток громадського транспорту та міської інфраструктури</t>
  </si>
  <si>
    <t>Розбудова мережі закладів, що надають медичну допомогу пацієнтам з онкологічними захворюваннями</t>
  </si>
  <si>
    <t>Відновлення багатоквартирних будинків, пошкоджених внаслідок збройної агресії російської федерації</t>
  </si>
  <si>
    <t>13020000</t>
  </si>
  <si>
    <t>Рентна плата за спеціальне використання води </t>
  </si>
  <si>
    <t>16010000</t>
  </si>
  <si>
    <t>Місцеві податки і збори, нараховані до 1 січня 2011 року </t>
  </si>
  <si>
    <t>12020000</t>
  </si>
  <si>
    <t>Податок з власників транспортних засобів та інших самохідних машин і механізмів  </t>
  </si>
  <si>
    <t>19050000</t>
  </si>
  <si>
    <t>Збір за забруднення навколишнього природного середовища  </t>
  </si>
  <si>
    <t>Надходження від плати за послуги, що надаються бюджетними установами згідно із законодавство</t>
  </si>
  <si>
    <t>Дотації з державного бюджету:</t>
  </si>
  <si>
    <t>Субвенції з державного бюджету:</t>
  </si>
  <si>
    <t>Дотації з місцевих бюджетів:</t>
  </si>
  <si>
    <t>Субвенції з місцевих бюджетів:</t>
  </si>
  <si>
    <t>до Прогнозу бюджету Львівської міської територіальної громади на 2027-2029 роки</t>
  </si>
  <si>
    <t>2025 рік 
(звіт)</t>
  </si>
  <si>
    <t>2026 рік 
(затверджено)</t>
  </si>
  <si>
    <t>2029 рік 
(план)</t>
  </si>
  <si>
    <t>до Прогнозу бюджету Львівської      міської територіальної громади на       2027-2029 роки</t>
  </si>
  <si>
    <t>до прогнозу бюджету Львівської міської територіальної громади на 2027-2029 роки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</si>
  <si>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</si>
  <si>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</si>
  <si>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</si>
  <si>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41050200</t>
  </si>
  <si>
    <t>Субвенція з державного бюджету місцевим бюджетам на реалізацію проектів в рамках Програми відновлення України ІІІ</t>
  </si>
  <si>
    <t>Бебешко</t>
  </si>
  <si>
    <t>Розвиток, модернізація та відновлення муніципальної інфраструктури</t>
  </si>
  <si>
    <t>Розвиток та модернізація генеруючих об’єктів електроенергетики</t>
  </si>
  <si>
    <t>Розвиток та модернізація об'єктів розподіленої генерації електричної та теплової енергії</t>
  </si>
  <si>
    <t>2.3</t>
  </si>
  <si>
    <t>Розвиток та модернізація потужностей відновлюваної енергетики</t>
  </si>
  <si>
    <t>2.4</t>
  </si>
  <si>
    <t>Відновлення аварійних житлових будинків</t>
  </si>
  <si>
    <t>Розвиток, оновлення та модернізація житлового фонду</t>
  </si>
  <si>
    <t>Транспорт та послуги поштового зв'язку</t>
  </si>
  <si>
    <t>Розвиток, будівництво та модернізація сучасної та безпечної інфраструктури у закладах та установах освіти Львівської міської територіальної громади</t>
  </si>
  <si>
    <t>Забезпечення доступу до якісної медичної допомоги шляхом розбудови й модернізації об’єктів медичної інфраструктури</t>
  </si>
  <si>
    <t>Розбудова мереж стаціонарних реабілітаційних відділень</t>
  </si>
  <si>
    <t xml:space="preserve"> Стратегія розвитку Львівської міської територіальної громади на 2026 – 2028 роки</t>
  </si>
  <si>
    <t>Розвиток центрів психічного здоров'я та психосоціальної допомоги</t>
  </si>
  <si>
    <t>Забезпечення збереження культурної спадщини України шляхом проведення ремонтно реставраційних робіт</t>
  </si>
  <si>
    <t>Створення умов для розвитку та модернізації сфери культури</t>
  </si>
  <si>
    <t xml:space="preserve">Модернізація (облаштування) приміщень для установ, які надають соціальні послуги </t>
  </si>
  <si>
    <t>Розбудова та відновлення муніципальної інфраструктури субнаціональних органів   влади</t>
  </si>
  <si>
    <t>Розбудова та відновлення вулично-дорожньої мережі та пов'язаної з нею інфраструктури, сприяння розвитку міської мобільності та безбар'єрності</t>
  </si>
  <si>
    <t>Відновлення багатоквартирних будинків пошкоджених внаслідок збройної агресії російської федерації</t>
  </si>
  <si>
    <t>Розбудова та відновлення вулично-дорожньої мережі та пов'язаної з нею  інфраструктури, сприяння розвитку міської мобільності та безбар'єрності</t>
  </si>
  <si>
    <t xml:space="preserve">Сприяння розвитку молодіжного руху на території Львівської міської територіальної громади </t>
  </si>
  <si>
    <t>Розбудова та відновлення муніципальної інфраструктури субнаціональних органів влади</t>
  </si>
  <si>
    <t>Розбудова системи  збирання, перевезення, відновлення та видалення побутових відходів</t>
  </si>
  <si>
    <t>Підвищення стійкості громади через забезпечення житлом вразливих груп населення</t>
  </si>
  <si>
    <t>Розвиток, будівництво та модернізація сучасної та безпечної інфраструктури у закладах та установах освіти Львівської міської  територіальної громади</t>
  </si>
  <si>
    <t>Економічна діяльність</t>
  </si>
  <si>
    <t>Розбудова мережі безпечного поводження та утилізації електронних і електричних відходів</t>
  </si>
  <si>
    <t>Комплексна екологічна програма на 2024-2028 роки для Львівської міської територіальної громади</t>
  </si>
  <si>
    <t xml:space="preserve">Розвиток, модернізація та відновлення муніципальної інфраструктури </t>
  </si>
  <si>
    <t>Розбудова та відновлення муніципальної інфраструктури субнаціональних органів</t>
  </si>
  <si>
    <t>Спорт, фізичне та молодіжне виховання</t>
  </si>
  <si>
    <t>Створення та розвиток мережі об’єктів спортивної інфраструктури з урахуванням вимог доступності та безпеки</t>
  </si>
  <si>
    <t>Цифрова трансформація держави та суспільства</t>
  </si>
  <si>
    <t>Розвиток та трансформація мережі центрів надання адміністративних послуг з високим рівнем цифрової зрілості, доступності, інклюзивності та зручності для суб'єктів звернень</t>
  </si>
  <si>
    <t>Субвенція з місцевого бюджету на реалізацію проектів співробітництва між територіальними громадами</t>
  </si>
  <si>
    <t>0719800</t>
  </si>
  <si>
    <t>1019800</t>
  </si>
  <si>
    <t>1119800</t>
  </si>
  <si>
    <t>1219800</t>
  </si>
  <si>
    <t>2719800</t>
  </si>
  <si>
    <t>2919800</t>
  </si>
  <si>
    <t>3219800</t>
  </si>
  <si>
    <t>3719800</t>
  </si>
  <si>
    <t xml:space="preserve">01      </t>
  </si>
  <si>
    <t xml:space="preserve">Департамент "Секретаріат ради" Львівської міської ради, у тому числі: </t>
  </si>
  <si>
    <t xml:space="preserve">02      </t>
  </si>
  <si>
    <t xml:space="preserve">Виконавчий комітет Львівської міської ради, у тому числі: </t>
  </si>
  <si>
    <t xml:space="preserve">06      </t>
  </si>
  <si>
    <t xml:space="preserve">Управління освітньої інфраструктури департаменту освіти та культури Львівської міської ради, у тому числі: </t>
  </si>
  <si>
    <t xml:space="preserve">07      </t>
  </si>
  <si>
    <t xml:space="preserve">Управління охорони здоров'я департаменту гуманітарної політики Львівської міської ради, у тому числі: </t>
  </si>
  <si>
    <t xml:space="preserve">08      </t>
  </si>
  <si>
    <t xml:space="preserve">Управління соціального захисту департаменту гуманітарної політики Львівської міської ради, у тому числі: </t>
  </si>
  <si>
    <t xml:space="preserve">09      </t>
  </si>
  <si>
    <t xml:space="preserve">Департамент гуманітарної політики Львівської міської ради, у тому числі: </t>
  </si>
  <si>
    <t xml:space="preserve">10      </t>
  </si>
  <si>
    <t xml:space="preserve">Управління культури департаменту освіти та культури Львівської міської ради, у тому числі: </t>
  </si>
  <si>
    <t xml:space="preserve">11      </t>
  </si>
  <si>
    <t xml:space="preserve">Офіс спорту Львівської міської ради, у тому числі: </t>
  </si>
  <si>
    <t xml:space="preserve">12      </t>
  </si>
  <si>
    <t xml:space="preserve">Департамент житлового господарства та інфраструктури Львівської міської ради, у тому числі: </t>
  </si>
  <si>
    <t xml:space="preserve">14      </t>
  </si>
  <si>
    <t xml:space="preserve">Управління екології та природних ресурсів департаменту природних ресурсів та будівництва Львівської міської ради, у тому числі: </t>
  </si>
  <si>
    <t xml:space="preserve">15      </t>
  </si>
  <si>
    <t xml:space="preserve">Управління капітального будівництва Львівської міської ради, у тому числі: </t>
  </si>
  <si>
    <t xml:space="preserve">16      </t>
  </si>
  <si>
    <t xml:space="preserve">Департамент архітектури та просторового розвитку Львівської міської ради, у тому числі: </t>
  </si>
  <si>
    <t xml:space="preserve">17      </t>
  </si>
  <si>
    <t xml:space="preserve">18      </t>
  </si>
  <si>
    <t xml:space="preserve">Офіс охорони культурної спадщини Львівської міської ради, у тому числі: </t>
  </si>
  <si>
    <t xml:space="preserve">19      </t>
  </si>
  <si>
    <t xml:space="preserve">Департамент міської мобільності та вуличної інфраструктури Львівської міської ради, у тому числі: </t>
  </si>
  <si>
    <t xml:space="preserve">20      </t>
  </si>
  <si>
    <t xml:space="preserve">Управління цифрової інфраструктури та сервісів департаменту економічного розвитку Львівської міської ради, у тому числі: </t>
  </si>
  <si>
    <t xml:space="preserve">23      </t>
  </si>
  <si>
    <t xml:space="preserve">Департамент "Адміністрація міського голови" Львівської міської ради, у тому числі: </t>
  </si>
  <si>
    <t xml:space="preserve">24      </t>
  </si>
  <si>
    <t xml:space="preserve">Управління державного контролю за використанням та охороною земель департаменту природних ресурсів та будівництва Львівської міської ради, у тому числі: </t>
  </si>
  <si>
    <t xml:space="preserve">25      </t>
  </si>
  <si>
    <t xml:space="preserve">Офіс молодіжної столиці Європи Львівської міської ради, у тому числі: </t>
  </si>
  <si>
    <t xml:space="preserve">26      </t>
  </si>
  <si>
    <t xml:space="preserve">Управління туризму департаменту економічного розвитку Львівської міської ради, у тому числі: </t>
  </si>
  <si>
    <t xml:space="preserve">27      </t>
  </si>
  <si>
    <t xml:space="preserve">Департамент економічного розвитку Львівської міської ради, у тому числі: </t>
  </si>
  <si>
    <t xml:space="preserve">28      </t>
  </si>
  <si>
    <t xml:space="preserve">Департамент природних ресурсів та будівництва Львівської міської ради, у тому числі: </t>
  </si>
  <si>
    <t xml:space="preserve">29      </t>
  </si>
  <si>
    <t xml:space="preserve">Управління з питань цивільного захисту та територіальної оборони Львівської міської ради, у тому числі: </t>
  </si>
  <si>
    <t xml:space="preserve">30      </t>
  </si>
  <si>
    <t xml:space="preserve">Департамент надання адміністративних послуг Львівської міської ради, у тому числі: </t>
  </si>
  <si>
    <t xml:space="preserve">31      </t>
  </si>
  <si>
    <t xml:space="preserve">Управління комунальної власності департаменту економічного розвитку Львівської міської ради, у тому числі: </t>
  </si>
  <si>
    <t xml:space="preserve">32      </t>
  </si>
  <si>
    <t xml:space="preserve">Департамент освіти та культури Львівської міської ради, у тому числі: </t>
  </si>
  <si>
    <t xml:space="preserve">33      </t>
  </si>
  <si>
    <t xml:space="preserve">Юридичний департамент Львівської міської ради, у тому числі: </t>
  </si>
  <si>
    <t xml:space="preserve">34      </t>
  </si>
  <si>
    <t xml:space="preserve">Управління адміністрування послуг департаменту надання адміністративних послуг Львівської міської ради, у тому числі: </t>
  </si>
  <si>
    <t xml:space="preserve">35      </t>
  </si>
  <si>
    <t xml:space="preserve">Управління інвестицій та проєктів департаменту економічного розвитку Львівської міської ради, у тому числі: </t>
  </si>
  <si>
    <t xml:space="preserve">36      </t>
  </si>
  <si>
    <t xml:space="preserve">Управління земельних ресурсів департаменту природних ресурсів та будівництва Львівської міської ради, у тому числі: </t>
  </si>
  <si>
    <t xml:space="preserve">37      </t>
  </si>
  <si>
    <t xml:space="preserve">Департамент фінансової політики Львівської міської ради, у тому числі: </t>
  </si>
  <si>
    <t xml:space="preserve">41      </t>
  </si>
  <si>
    <t xml:space="preserve">Галицька районна адміністрація Львівської міської ради, у тому числі: </t>
  </si>
  <si>
    <t xml:space="preserve">42      </t>
  </si>
  <si>
    <t xml:space="preserve">Залізнична районна адміністрація Львівської міської ради, у тому числі: </t>
  </si>
  <si>
    <t xml:space="preserve">43      </t>
  </si>
  <si>
    <t xml:space="preserve">Личаківська районна адміністрація Львівської міської ради, у тому числі: </t>
  </si>
  <si>
    <t xml:space="preserve">44      </t>
  </si>
  <si>
    <t xml:space="preserve">Франківська районна адміністрація Львівської міської ради, у тому числі: </t>
  </si>
  <si>
    <t xml:space="preserve">45      </t>
  </si>
  <si>
    <t xml:space="preserve">Шевченківська районна адміністрація Львівської міської ради, у тому числі: </t>
  </si>
  <si>
    <t xml:space="preserve">46      </t>
  </si>
  <si>
    <t xml:space="preserve">Сихівська районна адміністрація Львівської міської ради, у тому числі: </t>
  </si>
  <si>
    <t xml:space="preserve">47      </t>
  </si>
  <si>
    <t xml:space="preserve">Офіс агломерації та розвитку громад Львівської міської ради, у тому числі: </t>
  </si>
  <si>
    <t xml:space="preserve">51      </t>
  </si>
  <si>
    <t xml:space="preserve">Управління забезпечення доступності осіб з інвалідністю та інших маломобільних груп населення Львівської міської ради, у тому числі: </t>
  </si>
  <si>
    <t>Фінансування за активними операціями, у тому числі:</t>
  </si>
  <si>
    <t>Забезпечення збереження культурної спадщини України шляхом проведення ремонтно-реставраційних робіт, реставрації об’єктів культурної спадщини, в тому числі з метою подолання наслідків збройної агресії російської федерації</t>
  </si>
  <si>
    <t>Стратегія розвитку Львівської міської територіальної громади  на 2026 – 2028 роки</t>
  </si>
  <si>
    <t>Забезпечення збереження культурної спадщини України шляхом проведення ремонтно-реставраційних робіт, реставрації об'єктів культурної спадщини, в тому числі з метою подолання наслідків збройної агресії російської федерації</t>
  </si>
  <si>
    <t>Розвиток інноваційної інфраструктури та підтримка суб'єктів підприємництва</t>
  </si>
  <si>
    <t>Забезпечення  збереження культурної спадщини України шляхом проведення ремонтно-реставраційних робіт, реставрації об'єктів культурної спадщини, в тому числі з метою подолання наслідків збройної агресії російської федерації</t>
  </si>
  <si>
    <t xml:space="preserve">             Додаток 10</t>
  </si>
  <si>
    <t xml:space="preserve">                   Додаток 1</t>
  </si>
  <si>
    <t xml:space="preserve">№                з/п </t>
  </si>
  <si>
    <t xml:space="preserve">                   Додаток 5</t>
  </si>
  <si>
    <t xml:space="preserve">                 Додаток 8</t>
  </si>
  <si>
    <t>Стратегія розвитку Львівської міської    територіальної громади на  2026 – 2028 роки</t>
  </si>
  <si>
    <t>Стратегія розвитку Львівської міської територіальної громади на  2026 – 2028 роки</t>
  </si>
  <si>
    <t>Стратегія розвитку  Львівської міської територіальної громади на  2026 – 2028 роки</t>
  </si>
  <si>
    <t xml:space="preserve">Стратегія розвитку Львівської міської територіальної громади на 2026 – 2028 роки                          </t>
  </si>
  <si>
    <t>Розбудова та відновлення вулично-дорожньої мережі та пов’язаної з нею  інфраструктури, сприяння розвитку міської мобільності та безбар'єрності</t>
  </si>
  <si>
    <t xml:space="preserve">Інспекція державного архітектурно-будівельного контролю , у тому числі: </t>
  </si>
  <si>
    <t>Надання коштів для забезпечення гарантійних зобов'язань за позичальників, що отримали кредити під місцеві гарантії</t>
  </si>
  <si>
    <t xml:space="preserve">              Додаток 11</t>
  </si>
  <si>
    <t xml:space="preserve">                 Додаток 3</t>
  </si>
  <si>
    <t xml:space="preserve">                   Додаток 4</t>
  </si>
  <si>
    <t>Обсяг публічних інвестицій на підготовку та реалізацію публічних інвестиційних проєктів та програм публічних інвестицій 
з урахуванням середньострокового плану пріоритетних публічних інвестицій Львівської міської територіальної громади</t>
  </si>
  <si>
    <t>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"Про статус ветеранів війни, гарантії їх соціального захисту", для осіб з інвалідністю I–II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11–14 частини другої статті 7 Закону України "Про статус ветеранів війни, гарантії їх соціального захисту", та які потребують поліпшення житлових умов,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</si>
  <si>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– 5 частини першої статті 10-1 Закону України "Про статус ветеранів війни, гарантії їх соціального захисту",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</si>
  <si>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Забезпечення умов для гідного вшанування історичних подій шляхом створення та модернізації місць національної пам'яті, включаючи цифрові та фізичні компоненти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</si>
</sst>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_р_._-;\-* #,##0.00_р_._-;_-* &quot;-&quot;??_р_._-;_-@_-"/>
    <numFmt numFmtId="165" formatCode="0&quot;      &quot;"/>
    <numFmt numFmtId="166" formatCode="00&quot;      &quot;"/>
    <numFmt numFmtId="167" formatCode="#,##0.000"/>
  </numFmts>
  <fonts count="5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Arial"/>
      <family val="2"/>
      <charset val="204"/>
    </font>
    <font>
      <u/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4"/>
      <name val="Arial"/>
      <family val="2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8"/>
      <name val="Arial"/>
      <family val="2"/>
      <charset val="204"/>
    </font>
    <font>
      <b/>
      <sz val="2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2"/>
      <name val="Arial"/>
      <family val="2"/>
      <charset val="204"/>
    </font>
    <font>
      <sz val="8"/>
      <name val="Arial"/>
      <family val="2"/>
    </font>
    <font>
      <i/>
      <sz val="12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12"/>
      <name val="Arial"/>
      <family val="2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2"/>
      <name val="Arial"/>
      <family val="2"/>
      <charset val="204"/>
    </font>
    <font>
      <b/>
      <sz val="11"/>
      <name val="Arial"/>
      <family val="2"/>
      <charset val="204"/>
    </font>
    <font>
      <sz val="14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sz val="14"/>
      <color rgb="FFC00000"/>
      <name val="Arial"/>
      <family val="2"/>
      <charset val="204"/>
    </font>
    <font>
      <sz val="11"/>
      <color rgb="FFC00000"/>
      <name val="Arial"/>
      <family val="2"/>
      <charset val="204"/>
    </font>
    <font>
      <b/>
      <sz val="11"/>
      <color rgb="FFC00000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C0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  <charset val="204"/>
    </font>
    <font>
      <b/>
      <sz val="12"/>
      <color rgb="FF333333"/>
      <name val="Arial"/>
      <family val="2"/>
      <charset val="204"/>
    </font>
    <font>
      <b/>
      <sz val="11"/>
      <name val="Arial"/>
      <family val="2"/>
    </font>
    <font>
      <sz val="11"/>
      <name val="Arial"/>
      <family val="2"/>
    </font>
    <font>
      <b/>
      <i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1"/>
      <color rgb="FFFF0000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6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7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9" fillId="22" borderId="12" applyNumberFormat="0" applyAlignment="0" applyProtection="0"/>
    <xf numFmtId="0" fontId="14" fillId="22" borderId="11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13" applyNumberFormat="0" applyFill="0" applyAlignment="0" applyProtection="0"/>
    <xf numFmtId="0" fontId="15" fillId="13" borderId="0" applyNumberFormat="0" applyBorder="0" applyAlignment="0" applyProtection="0"/>
    <xf numFmtId="0" fontId="13" fillId="0" borderId="0"/>
    <xf numFmtId="0" fontId="17" fillId="0" borderId="0"/>
    <xf numFmtId="0" fontId="8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13" fillId="10" borderId="14" applyNumberFormat="0" applyFont="0" applyAlignment="0" applyProtection="0"/>
    <xf numFmtId="0" fontId="16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30" fillId="0" borderId="0"/>
  </cellStyleXfs>
  <cellXfs count="297">
    <xf numFmtId="0" fontId="0" fillId="0" borderId="0" xfId="0"/>
    <xf numFmtId="0" fontId="5" fillId="0" borderId="0" xfId="0" applyFont="1"/>
    <xf numFmtId="0" fontId="4" fillId="0" borderId="0" xfId="0" applyFont="1" applyAlignment="1">
      <alignment horizontal="left" indent="15"/>
    </xf>
    <xf numFmtId="0" fontId="4" fillId="0" borderId="0" xfId="0" applyFont="1"/>
    <xf numFmtId="0" fontId="2" fillId="0" borderId="0" xfId="0" applyFont="1"/>
    <xf numFmtId="0" fontId="2" fillId="0" borderId="7" xfId="0" applyFont="1" applyBorder="1" applyAlignment="1">
      <alignment horizontal="center" wrapText="1"/>
    </xf>
    <xf numFmtId="0" fontId="6" fillId="0" borderId="0" xfId="0" applyFont="1" applyAlignment="1">
      <alignment horizontal="left" indent="15"/>
    </xf>
    <xf numFmtId="0" fontId="19" fillId="0" borderId="0" xfId="0" applyFont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7" xfId="0" applyFont="1" applyBorder="1" applyAlignment="1">
      <alignment wrapText="1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/>
    </xf>
    <xf numFmtId="0" fontId="26" fillId="0" borderId="0" xfId="0" applyFont="1"/>
    <xf numFmtId="3" fontId="5" fillId="0" borderId="0" xfId="0" applyNumberFormat="1" applyFont="1"/>
    <xf numFmtId="4" fontId="5" fillId="0" borderId="0" xfId="0" applyNumberFormat="1" applyFont="1"/>
    <xf numFmtId="0" fontId="19" fillId="0" borderId="0" xfId="0" applyFont="1" applyAlignment="1">
      <alignment vertical="center"/>
    </xf>
    <xf numFmtId="0" fontId="6" fillId="0" borderId="0" xfId="0" applyFont="1"/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21" fillId="0" borderId="0" xfId="0" applyNumberFormat="1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3" fontId="19" fillId="0" borderId="7" xfId="0" applyNumberFormat="1" applyFont="1" applyBorder="1" applyAlignment="1">
      <alignment horizontal="center" vertical="top" wrapText="1"/>
    </xf>
    <xf numFmtId="3" fontId="20" fillId="0" borderId="7" xfId="0" applyNumberFormat="1" applyFont="1" applyBorder="1" applyAlignment="1">
      <alignment horizontal="center" vertical="top" wrapText="1"/>
    </xf>
    <xf numFmtId="0" fontId="19" fillId="0" borderId="7" xfId="0" applyFont="1" applyBorder="1" applyAlignment="1">
      <alignment vertical="top" wrapText="1"/>
    </xf>
    <xf numFmtId="0" fontId="31" fillId="0" borderId="0" xfId="0" applyFont="1" applyAlignment="1">
      <alignment horizontal="right" vertical="center" wrapText="1"/>
    </xf>
    <xf numFmtId="0" fontId="32" fillId="0" borderId="0" xfId="0" applyFont="1" applyAlignment="1">
      <alignment horizontal="right"/>
    </xf>
    <xf numFmtId="0" fontId="6" fillId="0" borderId="0" xfId="57" applyFont="1" applyAlignment="1">
      <alignment vertical="center"/>
    </xf>
    <xf numFmtId="0" fontId="6" fillId="0" borderId="0" xfId="57" applyFont="1" applyAlignment="1">
      <alignment vertical="center" wrapText="1"/>
    </xf>
    <xf numFmtId="164" fontId="6" fillId="0" borderId="0" xfId="57" applyNumberFormat="1" applyFont="1" applyAlignment="1">
      <alignment horizontal="center" vertical="center"/>
    </xf>
    <xf numFmtId="0" fontId="6" fillId="0" borderId="0" xfId="57" applyFont="1" applyAlignment="1">
      <alignment horizontal="left" vertical="center"/>
    </xf>
    <xf numFmtId="1" fontId="6" fillId="0" borderId="0" xfId="57" applyNumberFormat="1" applyFont="1" applyAlignment="1">
      <alignment horizontal="left"/>
    </xf>
    <xf numFmtId="0" fontId="6" fillId="0" borderId="0" xfId="57" applyFont="1"/>
    <xf numFmtId="1" fontId="6" fillId="0" borderId="0" xfId="57" applyNumberFormat="1" applyFont="1"/>
    <xf numFmtId="0" fontId="6" fillId="0" borderId="0" xfId="57" applyFont="1" applyAlignment="1">
      <alignment horizontal="left"/>
    </xf>
    <xf numFmtId="0" fontId="19" fillId="0" borderId="7" xfId="6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7" xfId="0" applyFont="1" applyBorder="1" applyAlignment="1">
      <alignment vertical="top" wrapText="1"/>
    </xf>
    <xf numFmtId="0" fontId="20" fillId="0" borderId="7" xfId="0" applyFont="1" applyBorder="1" applyAlignment="1">
      <alignment vertical="top"/>
    </xf>
    <xf numFmtId="0" fontId="19" fillId="0" borderId="0" xfId="0" applyFont="1"/>
    <xf numFmtId="0" fontId="19" fillId="0" borderId="0" xfId="57" applyFont="1" applyAlignment="1">
      <alignment vertical="center"/>
    </xf>
    <xf numFmtId="0" fontId="19" fillId="0" borderId="0" xfId="57" applyFont="1" applyAlignment="1">
      <alignment vertical="center" wrapText="1"/>
    </xf>
    <xf numFmtId="164" fontId="19" fillId="0" borderId="0" xfId="57" applyNumberFormat="1" applyFont="1" applyAlignment="1">
      <alignment horizontal="center" vertical="center"/>
    </xf>
    <xf numFmtId="0" fontId="19" fillId="0" borderId="0" xfId="57" applyFont="1" applyAlignment="1">
      <alignment horizontal="left" vertical="center"/>
    </xf>
    <xf numFmtId="1" fontId="19" fillId="0" borderId="0" xfId="57" applyNumberFormat="1" applyFont="1" applyAlignment="1">
      <alignment horizontal="left"/>
    </xf>
    <xf numFmtId="0" fontId="19" fillId="0" borderId="0" xfId="57" applyFont="1"/>
    <xf numFmtId="1" fontId="19" fillId="0" borderId="0" xfId="57" applyNumberFormat="1" applyFont="1"/>
    <xf numFmtId="0" fontId="19" fillId="0" borderId="0" xfId="57" applyFont="1" applyAlignment="1">
      <alignment horizontal="left"/>
    </xf>
    <xf numFmtId="4" fontId="21" fillId="0" borderId="0" xfId="0" applyNumberFormat="1" applyFont="1"/>
    <xf numFmtId="0" fontId="37" fillId="0" borderId="0" xfId="0" applyFont="1"/>
    <xf numFmtId="0" fontId="23" fillId="0" borderId="0" xfId="0" applyFont="1" applyAlignment="1">
      <alignment horizontal="center"/>
    </xf>
    <xf numFmtId="0" fontId="19" fillId="0" borderId="7" xfId="0" applyFont="1" applyBorder="1" applyAlignment="1">
      <alignment horizontal="center" wrapText="1"/>
    </xf>
    <xf numFmtId="3" fontId="19" fillId="23" borderId="7" xfId="0" applyNumberFormat="1" applyFont="1" applyFill="1" applyBorder="1" applyAlignment="1">
      <alignment horizontal="center" vertical="center" wrapText="1"/>
    </xf>
    <xf numFmtId="0" fontId="39" fillId="0" borderId="0" xfId="0" applyFont="1"/>
    <xf numFmtId="0" fontId="3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49" fontId="20" fillId="0" borderId="7" xfId="0" applyNumberFormat="1" applyFont="1" applyBorder="1" applyAlignment="1">
      <alignment horizontal="center" wrapText="1"/>
    </xf>
    <xf numFmtId="0" fontId="20" fillId="0" borderId="7" xfId="0" applyFont="1" applyBorder="1" applyAlignment="1">
      <alignment wrapText="1"/>
    </xf>
    <xf numFmtId="0" fontId="19" fillId="0" borderId="7" xfId="0" applyFont="1" applyBorder="1" applyAlignment="1">
      <alignment horizontal="center"/>
    </xf>
    <xf numFmtId="0" fontId="19" fillId="0" borderId="7" xfId="0" applyFont="1" applyBorder="1" applyAlignment="1">
      <alignment horizontal="justify" wrapText="1"/>
    </xf>
    <xf numFmtId="0" fontId="27" fillId="0" borderId="7" xfId="0" applyFont="1" applyBorder="1" applyAlignment="1">
      <alignment horizontal="center" wrapText="1"/>
    </xf>
    <xf numFmtId="0" fontId="27" fillId="0" borderId="7" xfId="0" applyFont="1" applyBorder="1" applyAlignment="1">
      <alignment wrapText="1"/>
    </xf>
    <xf numFmtId="0" fontId="20" fillId="0" borderId="7" xfId="0" applyFont="1" applyBorder="1" applyAlignment="1">
      <alignment horizontal="center" vertical="top"/>
    </xf>
    <xf numFmtId="0" fontId="20" fillId="0" borderId="7" xfId="0" applyFont="1" applyBorder="1" applyAlignment="1">
      <alignment horizontal="center"/>
    </xf>
    <xf numFmtId="0" fontId="20" fillId="23" borderId="7" xfId="60" applyFont="1" applyFill="1" applyBorder="1" applyAlignment="1">
      <alignment horizontal="left" vertical="top" wrapText="1"/>
    </xf>
    <xf numFmtId="3" fontId="20" fillId="23" borderId="7" xfId="60" applyNumberFormat="1" applyFont="1" applyFill="1" applyBorder="1" applyAlignment="1">
      <alignment horizontal="center" vertical="top"/>
    </xf>
    <xf numFmtId="1" fontId="20" fillId="23" borderId="7" xfId="60" applyNumberFormat="1" applyFont="1" applyFill="1" applyBorder="1" applyAlignment="1">
      <alignment horizontal="center" vertical="top"/>
    </xf>
    <xf numFmtId="1" fontId="19" fillId="23" borderId="7" xfId="60" applyNumberFormat="1" applyFont="1" applyFill="1" applyBorder="1" applyAlignment="1">
      <alignment horizontal="center" vertical="top"/>
    </xf>
    <xf numFmtId="0" fontId="19" fillId="23" borderId="7" xfId="60" applyFont="1" applyFill="1" applyBorder="1" applyAlignment="1">
      <alignment horizontal="left" vertical="top" wrapText="1"/>
    </xf>
    <xf numFmtId="3" fontId="19" fillId="23" borderId="7" xfId="60" applyNumberFormat="1" applyFont="1" applyFill="1" applyBorder="1" applyAlignment="1">
      <alignment horizontal="center" vertical="top"/>
    </xf>
    <xf numFmtId="3" fontId="21" fillId="23" borderId="7" xfId="60" applyNumberFormat="1" applyFont="1" applyFill="1" applyBorder="1" applyAlignment="1">
      <alignment horizontal="center" vertical="top"/>
    </xf>
    <xf numFmtId="0" fontId="19" fillId="23" borderId="7" xfId="60" applyFont="1" applyFill="1" applyBorder="1" applyAlignment="1">
      <alignment horizontal="center" vertical="top"/>
    </xf>
    <xf numFmtId="0" fontId="19" fillId="0" borderId="0" xfId="60" applyFont="1" applyAlignment="1">
      <alignment horizontal="left"/>
    </xf>
    <xf numFmtId="0" fontId="6" fillId="0" borderId="0" xfId="60" applyFont="1" applyAlignment="1">
      <alignment horizontal="left"/>
    </xf>
    <xf numFmtId="0" fontId="19" fillId="0" borderId="0" xfId="60" applyFont="1"/>
    <xf numFmtId="0" fontId="6" fillId="0" borderId="0" xfId="60" applyFont="1"/>
    <xf numFmtId="0" fontId="6" fillId="0" borderId="0" xfId="60" applyFont="1" applyAlignment="1">
      <alignment wrapText="1"/>
    </xf>
    <xf numFmtId="0" fontId="22" fillId="0" borderId="0" xfId="60" applyFont="1" applyAlignment="1">
      <alignment horizontal="center" vertical="center"/>
    </xf>
    <xf numFmtId="0" fontId="31" fillId="0" borderId="0" xfId="60" applyFont="1" applyAlignment="1">
      <alignment horizontal="right"/>
    </xf>
    <xf numFmtId="0" fontId="19" fillId="0" borderId="7" xfId="60" applyFont="1" applyBorder="1" applyAlignment="1">
      <alignment horizontal="center" vertical="top"/>
    </xf>
    <xf numFmtId="1" fontId="19" fillId="0" borderId="7" xfId="60" applyNumberFormat="1" applyFont="1" applyBorder="1" applyAlignment="1">
      <alignment horizontal="center" vertical="center"/>
    </xf>
    <xf numFmtId="0" fontId="20" fillId="0" borderId="0" xfId="60" applyFont="1"/>
    <xf numFmtId="0" fontId="19" fillId="23" borderId="0" xfId="60" applyFont="1" applyFill="1"/>
    <xf numFmtId="4" fontId="19" fillId="0" borderId="0" xfId="60" applyNumberFormat="1" applyFont="1" applyAlignment="1">
      <alignment horizontal="left"/>
    </xf>
    <xf numFmtId="3" fontId="19" fillId="0" borderId="0" xfId="60" applyNumberFormat="1" applyFont="1" applyAlignment="1">
      <alignment horizontal="left"/>
    </xf>
    <xf numFmtId="0" fontId="41" fillId="0" borderId="0" xfId="0" applyFont="1"/>
    <xf numFmtId="0" fontId="42" fillId="0" borderId="0" xfId="0" applyFont="1"/>
    <xf numFmtId="0" fontId="40" fillId="0" borderId="0" xfId="0" applyFont="1" applyAlignment="1">
      <alignment horizontal="justify"/>
    </xf>
    <xf numFmtId="4" fontId="41" fillId="0" borderId="0" xfId="0" applyNumberFormat="1" applyFont="1"/>
    <xf numFmtId="3" fontId="41" fillId="0" borderId="0" xfId="0" applyNumberFormat="1" applyFont="1"/>
    <xf numFmtId="1" fontId="40" fillId="0" borderId="0" xfId="57" applyNumberFormat="1" applyFont="1"/>
    <xf numFmtId="0" fontId="40" fillId="0" borderId="0" xfId="0" applyFont="1" applyAlignment="1">
      <alignment wrapText="1"/>
    </xf>
    <xf numFmtId="0" fontId="41" fillId="0" borderId="0" xfId="0" applyFont="1" applyAlignment="1">
      <alignment horizontal="left" wrapText="1"/>
    </xf>
    <xf numFmtId="2" fontId="41" fillId="0" borderId="0" xfId="0" applyNumberFormat="1" applyFont="1"/>
    <xf numFmtId="0" fontId="44" fillId="0" borderId="0" xfId="0" applyFont="1"/>
    <xf numFmtId="0" fontId="19" fillId="0" borderId="9" xfId="0" applyFont="1" applyBorder="1" applyAlignment="1">
      <alignment horizontal="center" wrapText="1"/>
    </xf>
    <xf numFmtId="1" fontId="33" fillId="0" borderId="7" xfId="0" applyNumberFormat="1" applyFont="1" applyBorder="1" applyAlignment="1">
      <alignment horizontal="center" vertical="top"/>
    </xf>
    <xf numFmtId="0" fontId="33" fillId="0" borderId="7" xfId="0" applyFont="1" applyBorder="1" applyAlignment="1">
      <alignment vertical="top" wrapText="1"/>
    </xf>
    <xf numFmtId="3" fontId="33" fillId="0" borderId="7" xfId="0" applyNumberFormat="1" applyFont="1" applyBorder="1" applyAlignment="1">
      <alignment horizontal="center" vertical="top"/>
    </xf>
    <xf numFmtId="1" fontId="45" fillId="0" borderId="7" xfId="0" applyNumberFormat="1" applyFont="1" applyBorder="1" applyAlignment="1">
      <alignment horizontal="center" vertical="top"/>
    </xf>
    <xf numFmtId="0" fontId="45" fillId="0" borderId="7" xfId="0" applyFont="1" applyBorder="1" applyAlignment="1">
      <alignment vertical="top" wrapText="1"/>
    </xf>
    <xf numFmtId="3" fontId="45" fillId="0" borderId="7" xfId="0" applyNumberFormat="1" applyFont="1" applyBorder="1" applyAlignment="1">
      <alignment horizontal="center" vertical="top"/>
    </xf>
    <xf numFmtId="3" fontId="33" fillId="0" borderId="7" xfId="0" applyNumberFormat="1" applyFont="1" applyBorder="1" applyAlignment="1">
      <alignment horizontal="center" vertical="top" wrapText="1"/>
    </xf>
    <xf numFmtId="1" fontId="33" fillId="0" borderId="7" xfId="0" applyNumberFormat="1" applyFont="1" applyBorder="1" applyAlignment="1">
      <alignment horizontal="center" vertical="top" wrapText="1"/>
    </xf>
    <xf numFmtId="1" fontId="45" fillId="0" borderId="7" xfId="0" applyNumberFormat="1" applyFont="1" applyBorder="1" applyAlignment="1">
      <alignment horizontal="center" vertical="top" wrapText="1"/>
    </xf>
    <xf numFmtId="3" fontId="45" fillId="0" borderId="7" xfId="0" applyNumberFormat="1" applyFont="1" applyBorder="1" applyAlignment="1">
      <alignment horizontal="center" vertical="top" wrapText="1"/>
    </xf>
    <xf numFmtId="3" fontId="45" fillId="23" borderId="7" xfId="0" applyNumberFormat="1" applyFont="1" applyFill="1" applyBorder="1" applyAlignment="1">
      <alignment horizontal="center" vertical="top"/>
    </xf>
    <xf numFmtId="0" fontId="31" fillId="0" borderId="7" xfId="0" applyFont="1" applyBorder="1" applyAlignment="1">
      <alignment horizontal="center" vertical="top" wrapText="1"/>
    </xf>
    <xf numFmtId="0" fontId="31" fillId="0" borderId="7" xfId="0" applyFont="1" applyBorder="1" applyAlignment="1">
      <alignment vertical="top" wrapText="1"/>
    </xf>
    <xf numFmtId="3" fontId="31" fillId="0" borderId="7" xfId="0" applyNumberFormat="1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vertical="center" wrapText="1"/>
    </xf>
    <xf numFmtId="3" fontId="20" fillId="0" borderId="7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49" fontId="31" fillId="0" borderId="7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vertical="center" wrapText="1"/>
    </xf>
    <xf numFmtId="0" fontId="31" fillId="0" borderId="7" xfId="0" applyFont="1" applyBorder="1" applyAlignment="1">
      <alignment horizontal="center" vertical="center" wrapText="1"/>
    </xf>
    <xf numFmtId="3" fontId="46" fillId="23" borderId="7" xfId="60" applyNumberFormat="1" applyFont="1" applyFill="1" applyBorder="1" applyAlignment="1">
      <alignment horizontal="center" vertical="top"/>
    </xf>
    <xf numFmtId="3" fontId="2" fillId="23" borderId="7" xfId="60" applyNumberFormat="1" applyFont="1" applyFill="1" applyBorder="1" applyAlignment="1">
      <alignment horizontal="center" vertical="top"/>
    </xf>
    <xf numFmtId="1" fontId="19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3" fontId="20" fillId="0" borderId="0" xfId="60" applyNumberFormat="1" applyFont="1"/>
    <xf numFmtId="1" fontId="20" fillId="0" borderId="7" xfId="0" applyNumberFormat="1" applyFont="1" applyBorder="1" applyAlignment="1">
      <alignment horizontal="center" vertical="top" wrapText="1"/>
    </xf>
    <xf numFmtId="0" fontId="47" fillId="0" borderId="0" xfId="0" applyFont="1" applyAlignment="1">
      <alignment wrapText="1"/>
    </xf>
    <xf numFmtId="4" fontId="45" fillId="23" borderId="7" xfId="0" applyNumberFormat="1" applyFont="1" applyFill="1" applyBorder="1" applyAlignment="1">
      <alignment horizontal="center" vertical="top"/>
    </xf>
    <xf numFmtId="0" fontId="46" fillId="0" borderId="0" xfId="0" applyFont="1"/>
    <xf numFmtId="3" fontId="19" fillId="0" borderId="0" xfId="0" applyNumberFormat="1" applyFont="1"/>
    <xf numFmtId="0" fontId="33" fillId="0" borderId="7" xfId="0" applyFont="1" applyBorder="1" applyAlignment="1">
      <alignment horizontal="center" vertical="top"/>
    </xf>
    <xf numFmtId="0" fontId="48" fillId="0" borderId="0" xfId="0" applyFont="1"/>
    <xf numFmtId="0" fontId="45" fillId="0" borderId="7" xfId="0" applyFont="1" applyBorder="1" applyAlignment="1">
      <alignment horizontal="center" vertical="top"/>
    </xf>
    <xf numFmtId="4" fontId="33" fillId="0" borderId="7" xfId="0" applyNumberFormat="1" applyFont="1" applyBorder="1" applyAlignment="1">
      <alignment horizontal="center" vertical="top"/>
    </xf>
    <xf numFmtId="4" fontId="45" fillId="0" borderId="7" xfId="0" applyNumberFormat="1" applyFont="1" applyBorder="1" applyAlignment="1">
      <alignment horizontal="center" vertical="top"/>
    </xf>
    <xf numFmtId="1" fontId="20" fillId="0" borderId="7" xfId="0" applyNumberFormat="1" applyFont="1" applyBorder="1" applyAlignment="1">
      <alignment horizontal="center" vertical="top"/>
    </xf>
    <xf numFmtId="3" fontId="20" fillId="0" borderId="7" xfId="0" applyNumberFormat="1" applyFont="1" applyBorder="1" applyAlignment="1">
      <alignment horizontal="center" vertical="top"/>
    </xf>
    <xf numFmtId="0" fontId="49" fillId="0" borderId="0" xfId="0" applyFont="1"/>
    <xf numFmtId="1" fontId="45" fillId="0" borderId="7" xfId="0" applyNumberFormat="1" applyFont="1" applyBorder="1" applyAlignment="1">
      <alignment horizontal="center"/>
    </xf>
    <xf numFmtId="0" fontId="45" fillId="0" borderId="7" xfId="0" applyFont="1" applyBorder="1" applyAlignment="1">
      <alignment horizontal="center"/>
    </xf>
    <xf numFmtId="0" fontId="45" fillId="0" borderId="7" xfId="0" applyFont="1" applyBorder="1" applyAlignment="1">
      <alignment wrapText="1"/>
    </xf>
    <xf numFmtId="3" fontId="45" fillId="0" borderId="7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7" xfId="0" applyFont="1" applyBorder="1" applyAlignment="1">
      <alignment wrapText="1"/>
    </xf>
    <xf numFmtId="3" fontId="33" fillId="0" borderId="7" xfId="0" applyNumberFormat="1" applyFont="1" applyBorder="1" applyAlignment="1">
      <alignment horizontal="center"/>
    </xf>
    <xf numFmtId="49" fontId="33" fillId="0" borderId="7" xfId="0" applyNumberFormat="1" applyFont="1" applyBorder="1" applyAlignment="1">
      <alignment horizontal="center" vertical="top"/>
    </xf>
    <xf numFmtId="4" fontId="37" fillId="0" borderId="0" xfId="0" applyNumberFormat="1" applyFont="1"/>
    <xf numFmtId="49" fontId="45" fillId="0" borderId="7" xfId="0" applyNumberFormat="1" applyFont="1" applyBorder="1" applyAlignment="1">
      <alignment horizontal="center" vertical="top"/>
    </xf>
    <xf numFmtId="3" fontId="19" fillId="0" borderId="7" xfId="0" applyNumberFormat="1" applyFont="1" applyBorder="1" applyAlignment="1">
      <alignment horizontal="center" vertical="top"/>
    </xf>
    <xf numFmtId="0" fontId="19" fillId="0" borderId="7" xfId="0" applyFont="1" applyBorder="1" applyAlignment="1">
      <alignment horizontal="center" vertical="top"/>
    </xf>
    <xf numFmtId="1" fontId="19" fillId="0" borderId="7" xfId="0" applyNumberFormat="1" applyFont="1" applyBorder="1" applyAlignment="1">
      <alignment horizontal="center" vertical="top"/>
    </xf>
    <xf numFmtId="0" fontId="33" fillId="0" borderId="7" xfId="0" applyFont="1" applyBorder="1" applyAlignment="1">
      <alignment vertical="center" wrapText="1"/>
    </xf>
    <xf numFmtId="4" fontId="33" fillId="0" borderId="7" xfId="0" applyNumberFormat="1" applyFont="1" applyBorder="1" applyAlignment="1">
      <alignment horizontal="center" vertical="center" wrapText="1"/>
    </xf>
    <xf numFmtId="3" fontId="33" fillId="0" borderId="7" xfId="0" applyNumberFormat="1" applyFont="1" applyBorder="1" applyAlignment="1">
      <alignment horizontal="center" vertical="center" wrapText="1"/>
    </xf>
    <xf numFmtId="3" fontId="31" fillId="0" borderId="7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1" fontId="19" fillId="23" borderId="7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3" fontId="19" fillId="23" borderId="7" xfId="0" applyNumberFormat="1" applyFont="1" applyFill="1" applyBorder="1" applyAlignment="1">
      <alignment horizontal="center" vertical="top"/>
    </xf>
    <xf numFmtId="3" fontId="20" fillId="23" borderId="7" xfId="0" applyNumberFormat="1" applyFont="1" applyFill="1" applyBorder="1" applyAlignment="1">
      <alignment horizontal="center" vertical="top"/>
    </xf>
    <xf numFmtId="0" fontId="27" fillId="0" borderId="7" xfId="0" applyFont="1" applyBorder="1" applyAlignment="1">
      <alignment horizontal="center" vertical="top"/>
    </xf>
    <xf numFmtId="0" fontId="27" fillId="0" borderId="7" xfId="0" applyFont="1" applyBorder="1" applyAlignment="1">
      <alignment vertical="top" wrapText="1"/>
    </xf>
    <xf numFmtId="3" fontId="27" fillId="23" borderId="7" xfId="0" applyNumberFormat="1" applyFont="1" applyFill="1" applyBorder="1" applyAlignment="1">
      <alignment horizontal="center" vertical="top"/>
    </xf>
    <xf numFmtId="0" fontId="50" fillId="0" borderId="0" xfId="0" applyFont="1"/>
    <xf numFmtId="0" fontId="27" fillId="0" borderId="7" xfId="0" applyFont="1" applyBorder="1" applyAlignment="1">
      <alignment horizontal="center"/>
    </xf>
    <xf numFmtId="3" fontId="27" fillId="23" borderId="7" xfId="0" applyNumberFormat="1" applyFont="1" applyFill="1" applyBorder="1" applyAlignment="1">
      <alignment horizontal="center"/>
    </xf>
    <xf numFmtId="0" fontId="27" fillId="23" borderId="7" xfId="60" applyFont="1" applyFill="1" applyBorder="1" applyAlignment="1">
      <alignment horizontal="center" vertical="top"/>
    </xf>
    <xf numFmtId="0" fontId="27" fillId="23" borderId="7" xfId="60" applyFont="1" applyFill="1" applyBorder="1" applyAlignment="1">
      <alignment horizontal="left" vertical="top" wrapText="1"/>
    </xf>
    <xf numFmtId="3" fontId="27" fillId="23" borderId="7" xfId="60" applyNumberFormat="1" applyFont="1" applyFill="1" applyBorder="1" applyAlignment="1">
      <alignment horizontal="center" vertical="top"/>
    </xf>
    <xf numFmtId="0" fontId="27" fillId="0" borderId="0" xfId="60" applyFont="1"/>
    <xf numFmtId="0" fontId="6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/>
    </xf>
    <xf numFmtId="3" fontId="37" fillId="0" borderId="0" xfId="0" applyNumberFormat="1" applyFont="1"/>
    <xf numFmtId="0" fontId="6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1" fillId="0" borderId="0" xfId="0" applyFont="1" applyAlignment="1">
      <alignment horizontal="right"/>
    </xf>
    <xf numFmtId="3" fontId="19" fillId="0" borderId="7" xfId="0" applyNumberFormat="1" applyFont="1" applyBorder="1" applyAlignment="1">
      <alignment horizontal="center" vertical="center"/>
    </xf>
    <xf numFmtId="3" fontId="23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indent="15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justify"/>
    </xf>
    <xf numFmtId="4" fontId="19" fillId="0" borderId="0" xfId="0" applyNumberFormat="1" applyFont="1" applyAlignment="1">
      <alignment horizontal="center"/>
    </xf>
    <xf numFmtId="4" fontId="19" fillId="0" borderId="0" xfId="0" applyNumberFormat="1" applyFont="1"/>
    <xf numFmtId="0" fontId="35" fillId="0" borderId="0" xfId="0" applyFont="1"/>
    <xf numFmtId="0" fontId="19" fillId="0" borderId="7" xfId="6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4" fontId="6" fillId="0" borderId="0" xfId="57" applyNumberFormat="1" applyFont="1" applyAlignment="1">
      <alignment horizontal="center" vertical="center"/>
    </xf>
    <xf numFmtId="3" fontId="6" fillId="0" borderId="0" xfId="0" applyNumberFormat="1" applyFont="1"/>
    <xf numFmtId="2" fontId="6" fillId="0" borderId="0" xfId="57" applyNumberFormat="1" applyFont="1" applyAlignment="1">
      <alignment horizontal="center"/>
    </xf>
    <xf numFmtId="0" fontId="52" fillId="0" borderId="0" xfId="0" applyFont="1"/>
    <xf numFmtId="165" fontId="19" fillId="0" borderId="7" xfId="0" applyNumberFormat="1" applyFont="1" applyBorder="1" applyAlignment="1">
      <alignment horizontal="center" vertical="top" wrapText="1"/>
    </xf>
    <xf numFmtId="166" fontId="19" fillId="0" borderId="7" xfId="0" applyNumberFormat="1" applyFont="1" applyBorder="1" applyAlignment="1">
      <alignment horizontal="center" vertical="top" wrapText="1"/>
    </xf>
    <xf numFmtId="0" fontId="21" fillId="0" borderId="0" xfId="0" applyFont="1" applyFill="1"/>
    <xf numFmtId="4" fontId="48" fillId="0" borderId="0" xfId="0" applyNumberFormat="1" applyFont="1" applyFill="1"/>
    <xf numFmtId="4" fontId="37" fillId="0" borderId="0" xfId="0" applyNumberFormat="1" applyFont="1" applyFill="1"/>
    <xf numFmtId="0" fontId="20" fillId="23" borderId="7" xfId="60" applyFont="1" applyFill="1" applyBorder="1" applyAlignment="1">
      <alignment horizontal="center" vertical="top"/>
    </xf>
    <xf numFmtId="0" fontId="20" fillId="0" borderId="7" xfId="0" applyFont="1" applyBorder="1" applyAlignment="1">
      <alignment horizontal="center" wrapText="1"/>
    </xf>
    <xf numFmtId="0" fontId="19" fillId="0" borderId="7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top" wrapText="1"/>
    </xf>
    <xf numFmtId="0" fontId="33" fillId="0" borderId="7" xfId="0" applyFont="1" applyBorder="1" applyAlignment="1">
      <alignment horizontal="center" vertical="center" wrapText="1"/>
    </xf>
    <xf numFmtId="167" fontId="44" fillId="0" borderId="0" xfId="0" applyNumberFormat="1" applyFont="1"/>
    <xf numFmtId="167" fontId="5" fillId="0" borderId="0" xfId="0" applyNumberFormat="1" applyFont="1"/>
    <xf numFmtId="167" fontId="6" fillId="0" borderId="0" xfId="57" applyNumberFormat="1" applyFont="1" applyAlignment="1">
      <alignment horizontal="left" vertical="center"/>
    </xf>
    <xf numFmtId="167" fontId="6" fillId="0" borderId="0" xfId="57" applyNumberFormat="1" applyFont="1" applyAlignment="1">
      <alignment horizontal="left"/>
    </xf>
    <xf numFmtId="4" fontId="2" fillId="23" borderId="7" xfId="60" applyNumberFormat="1" applyFont="1" applyFill="1" applyBorder="1" applyAlignment="1">
      <alignment horizontal="center" vertical="top"/>
    </xf>
    <xf numFmtId="3" fontId="31" fillId="23" borderId="7" xfId="0" applyNumberFormat="1" applyFont="1" applyFill="1" applyBorder="1" applyAlignment="1">
      <alignment horizontal="center" vertical="center" wrapText="1"/>
    </xf>
    <xf numFmtId="3" fontId="27" fillId="0" borderId="7" xfId="0" applyNumberFormat="1" applyFont="1" applyBorder="1" applyAlignment="1">
      <alignment horizontal="center" vertical="center" wrapText="1"/>
    </xf>
    <xf numFmtId="49" fontId="20" fillId="0" borderId="7" xfId="1" applyNumberFormat="1" applyFont="1" applyFill="1" applyBorder="1" applyAlignment="1" applyProtection="1">
      <alignment horizontal="center" wrapText="1"/>
    </xf>
    <xf numFmtId="3" fontId="27" fillId="0" borderId="7" xfId="0" applyNumberFormat="1" applyFont="1" applyBorder="1" applyAlignment="1">
      <alignment horizontal="center" vertical="top" wrapText="1"/>
    </xf>
    <xf numFmtId="0" fontId="5" fillId="0" borderId="0" xfId="0" applyFont="1" applyFill="1"/>
    <xf numFmtId="0" fontId="26" fillId="0" borderId="0" xfId="0" applyFont="1" applyFill="1"/>
    <xf numFmtId="0" fontId="48" fillId="0" borderId="0" xfId="0" applyFont="1" applyFill="1"/>
    <xf numFmtId="0" fontId="37" fillId="0" borderId="0" xfId="0" applyFont="1" applyFill="1"/>
    <xf numFmtId="0" fontId="49" fillId="0" borderId="0" xfId="0" applyFont="1" applyFill="1"/>
    <xf numFmtId="0" fontId="44" fillId="0" borderId="0" xfId="0" applyFont="1" applyFill="1"/>
    <xf numFmtId="0" fontId="6" fillId="23" borderId="0" xfId="0" applyFont="1" applyFill="1"/>
    <xf numFmtId="0" fontId="6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60" applyFont="1" applyBorder="1" applyAlignment="1">
      <alignment horizontal="center" vertical="top" wrapText="1"/>
    </xf>
    <xf numFmtId="0" fontId="20" fillId="23" borderId="7" xfId="60" applyFont="1" applyFill="1" applyBorder="1" applyAlignment="1">
      <alignment horizontal="center" vertical="top"/>
    </xf>
    <xf numFmtId="0" fontId="38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23" fillId="0" borderId="0" xfId="6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0" fillId="0" borderId="7" xfId="0" applyFont="1" applyBorder="1" applyAlignment="1">
      <alignment horizontal="center" wrapText="1"/>
    </xf>
    <xf numFmtId="0" fontId="19" fillId="0" borderId="7" xfId="6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38" fillId="0" borderId="0" xfId="0" applyFont="1" applyAlignment="1">
      <alignment vertical="top" wrapText="1"/>
    </xf>
    <xf numFmtId="0" fontId="19" fillId="0" borderId="8" xfId="0" applyFont="1" applyBorder="1" applyAlignment="1">
      <alignment horizontal="center" vertical="top" wrapText="1"/>
    </xf>
    <xf numFmtId="0" fontId="31" fillId="0" borderId="0" xfId="0" applyFont="1" applyAlignment="1">
      <alignment horizontal="right"/>
    </xf>
    <xf numFmtId="0" fontId="19" fillId="23" borderId="10" xfId="0" applyFont="1" applyFill="1" applyBorder="1" applyAlignment="1">
      <alignment horizontal="center" vertical="top" wrapText="1"/>
    </xf>
    <xf numFmtId="0" fontId="19" fillId="23" borderId="9" xfId="0" applyFont="1" applyFill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center" wrapText="1"/>
    </xf>
    <xf numFmtId="0" fontId="51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3" borderId="10" xfId="0" applyFont="1" applyFill="1" applyBorder="1" applyAlignment="1">
      <alignment horizontal="center" vertical="center" wrapText="1"/>
    </xf>
    <xf numFmtId="0" fontId="2" fillId="23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4" fillId="0" borderId="0" xfId="0" applyFont="1" applyAlignment="1">
      <alignment vertical="top" wrapText="1"/>
    </xf>
    <xf numFmtId="0" fontId="34" fillId="0" borderId="0" xfId="0" applyFont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19" fillId="0" borderId="7" xfId="6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10" xfId="60" applyFont="1" applyBorder="1" applyAlignment="1">
      <alignment horizontal="center" vertical="top" wrapText="1"/>
    </xf>
    <xf numFmtId="0" fontId="19" fillId="0" borderId="20" xfId="60" applyFont="1" applyBorder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38" fillId="0" borderId="0" xfId="0" applyFont="1"/>
    <xf numFmtId="0" fontId="19" fillId="0" borderId="10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43" fillId="0" borderId="0" xfId="0" applyFont="1" applyAlignment="1">
      <alignment horizontal="left"/>
    </xf>
    <xf numFmtId="0" fontId="19" fillId="0" borderId="0" xfId="0" applyFont="1" applyAlignment="1">
      <alignment vertical="center" wrapText="1"/>
    </xf>
    <xf numFmtId="0" fontId="43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38" fillId="0" borderId="0" xfId="0" applyFont="1" applyAlignment="1">
      <alignment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0" fontId="33" fillId="0" borderId="7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0" fontId="33" fillId="0" borderId="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top" wrapText="1"/>
    </xf>
    <xf numFmtId="0" fontId="19" fillId="0" borderId="18" xfId="0" applyFont="1" applyBorder="1" applyAlignment="1">
      <alignment horizontal="center" vertical="top" wrapText="1"/>
    </xf>
    <xf numFmtId="0" fontId="19" fillId="0" borderId="19" xfId="0" applyFont="1" applyBorder="1" applyAlignment="1">
      <alignment horizontal="center" vertical="top" wrapText="1"/>
    </xf>
  </cellXfs>
  <cellStyles count="61">
    <cellStyle name="20% - Акцент1" xfId="3"/>
    <cellStyle name="20% - Акцент2" xfId="4"/>
    <cellStyle name="20% - Акцент3" xfId="5"/>
    <cellStyle name="20% - Акцент4" xfId="6"/>
    <cellStyle name="20% - Акцент5" xfId="7"/>
    <cellStyle name="20% - Акцент6" xfId="8"/>
    <cellStyle name="40% - Акцент1" xfId="9"/>
    <cellStyle name="40% - Акцент2" xfId="10"/>
    <cellStyle name="40% - Акцент3" xfId="11"/>
    <cellStyle name="40% - Акцент4" xfId="12"/>
    <cellStyle name="40% - Акцент5" xfId="13"/>
    <cellStyle name="40% - Акцент6" xfId="14"/>
    <cellStyle name="60% - Акцент1" xfId="15"/>
    <cellStyle name="60% - Акцент2" xfId="16"/>
    <cellStyle name="60% - Акцент3" xfId="17"/>
    <cellStyle name="60% - Акцент4" xfId="18"/>
    <cellStyle name="60% - Акцент5" xfId="19"/>
    <cellStyle name="60% - Акцент6" xfId="20"/>
    <cellStyle name="Normal_meresha_07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ывод 2" xfId="28"/>
    <cellStyle name="Вычисление 2" xfId="29"/>
    <cellStyle name="Гіперпосилання" xfId="1" builtinId="8"/>
    <cellStyle name="Звичайний" xfId="0" builtinId="0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21 2" xfId="58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Итог 2" xfId="49"/>
    <cellStyle name="Нейтральный 2" xfId="50"/>
    <cellStyle name="Обычный 11 4" xfId="51"/>
    <cellStyle name="Обычный 2" xfId="52"/>
    <cellStyle name="Обычный 3" xfId="57"/>
    <cellStyle name="Обычный 4" xfId="2"/>
    <cellStyle name="Обычный 5" xfId="60"/>
    <cellStyle name="Плохой 2" xfId="53"/>
    <cellStyle name="Пояснение 2" xfId="54"/>
    <cellStyle name="Примечание 2" xfId="55"/>
    <cellStyle name="Стиль 1" xfId="56"/>
    <cellStyle name="Финансовый 2" xfId="59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5;&#1056;&#1054;&#1043;&#1053;&#1054;&#1047;%202027-2029%20&#1088;&#1110;&#1096;&#1077;&#1085;&#1085;&#1103;28.08\3%20&#1074;%20&#1076;&#1088;&#1091;&#1082;%20&#1044;&#1086;&#1076;&#1072;&#1090;&#1082;&#1080;%201-11%20&#1076;&#1086;%20&#1055;&#1088;&#1086;&#1075;&#1085;&#1086;&#1079;&#1091;%20&#1073;&#1102;&#1076;&#1078;&#1077;&#1090;&#1091;%202027-2029%20&#8211;%20&#1082;&#1086;&#1087;&#111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6E88F6B\2%20&#1074;%20&#1076;&#1088;&#1091;&#1082;%20&#1044;&#1086;&#1076;&#1072;&#1090;&#1082;&#1080;%201-11%20&#1076;&#1086;%20&#1055;&#1088;&#1086;&#1075;&#1085;&#1086;&#1079;&#1091;%20&#1073;&#1102;&#1076;&#1078;&#1077;&#1090;&#1091;%202027-2029%20&#8211;%20&#1082;&#1086;&#1087;&#111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даток 1"/>
      <sheetName val="додаток 2+"/>
      <sheetName val="додаток 3+наше"/>
      <sheetName val="додаток 4+"/>
      <sheetName val="додаток 5+"/>
      <sheetName val="додаток 6+"/>
      <sheetName val="додаток 7"/>
      <sheetName val="додаток 8+"/>
      <sheetName val="додаток 9+"/>
      <sheetName val="додаток 10+"/>
      <sheetName val="додаток 11+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7">
          <cell r="E17">
            <v>33306200</v>
          </cell>
          <cell r="F17">
            <v>35804200</v>
          </cell>
          <cell r="G17">
            <v>37916600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даток 1"/>
      <sheetName val="додаток 2+"/>
      <sheetName val="додаток 3+наше"/>
      <sheetName val="додаток 4+"/>
      <sheetName val="додаток 5+"/>
      <sheetName val="додаток 6+"/>
      <sheetName val="додаток 7"/>
      <sheetName val="додаток 8+"/>
      <sheetName val="додаток 9+"/>
      <sheetName val="додаток 10+"/>
      <sheetName val="додаток 11+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2">
          <cell r="C42">
            <v>1899910300</v>
          </cell>
          <cell r="D42">
            <v>2350300800</v>
          </cell>
          <cell r="E42">
            <v>2687289700</v>
          </cell>
          <cell r="F42">
            <v>3215803400</v>
          </cell>
          <cell r="G42">
            <v>3712056200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zoomScale="80" zoomScaleNormal="80" workbookViewId="0"/>
  </sheetViews>
  <sheetFormatPr defaultColWidth="9.109375" defaultRowHeight="13.8" x14ac:dyDescent="0.25"/>
  <cols>
    <col min="1" max="1" width="5.6640625" style="10" customWidth="1"/>
    <col min="2" max="2" width="81.5546875" style="10" customWidth="1"/>
    <col min="3" max="3" width="26.6640625" style="10" customWidth="1"/>
    <col min="4" max="4" width="23" style="10" customWidth="1"/>
    <col min="5" max="6" width="24.109375" style="10" customWidth="1"/>
    <col min="7" max="7" width="22.33203125" style="10" customWidth="1"/>
    <col min="8" max="8" width="9.109375" style="10"/>
    <col min="9" max="9" width="15.5546875" style="10" customWidth="1"/>
    <col min="10" max="16384" width="9.109375" style="10"/>
  </cols>
  <sheetData>
    <row r="1" spans="1:10" ht="18.600000000000001" customHeight="1" x14ac:dyDescent="0.25">
      <c r="E1" s="176"/>
      <c r="F1" s="228" t="s">
        <v>389</v>
      </c>
      <c r="G1" s="229"/>
    </row>
    <row r="2" spans="1:10" ht="56.4" customHeight="1" x14ac:dyDescent="0.25">
      <c r="E2" s="176"/>
      <c r="F2" s="230" t="s">
        <v>249</v>
      </c>
      <c r="G2" s="231"/>
    </row>
    <row r="3" spans="1:10" ht="12.6" customHeight="1" x14ac:dyDescent="0.25">
      <c r="E3" s="176"/>
      <c r="F3" s="176"/>
      <c r="G3" s="176"/>
    </row>
    <row r="4" spans="1:10" ht="17.399999999999999" x14ac:dyDescent="0.25">
      <c r="A4" s="237" t="s">
        <v>178</v>
      </c>
      <c r="B4" s="237"/>
      <c r="C4" s="237"/>
      <c r="D4" s="237"/>
      <c r="E4" s="237"/>
      <c r="F4" s="237"/>
      <c r="G4" s="237"/>
    </row>
    <row r="5" spans="1:10" ht="11.4" customHeight="1" x14ac:dyDescent="0.25">
      <c r="A5" s="177"/>
      <c r="B5" s="177"/>
      <c r="C5" s="177"/>
      <c r="D5" s="177"/>
      <c r="E5" s="177"/>
      <c r="F5" s="177"/>
      <c r="G5" s="177"/>
    </row>
    <row r="6" spans="1:10" ht="15" x14ac:dyDescent="0.25">
      <c r="A6" s="235">
        <v>1356300000</v>
      </c>
      <c r="B6" s="235"/>
    </row>
    <row r="7" spans="1:10" ht="15" customHeight="1" x14ac:dyDescent="0.25">
      <c r="A7" s="236" t="s">
        <v>0</v>
      </c>
      <c r="B7" s="236"/>
    </row>
    <row r="8" spans="1:10" ht="15.6" x14ac:dyDescent="0.25">
      <c r="G8" s="31" t="s">
        <v>11</v>
      </c>
    </row>
    <row r="9" spans="1:10" ht="18.75" customHeight="1" x14ac:dyDescent="0.25">
      <c r="A9" s="238" t="s">
        <v>2</v>
      </c>
      <c r="B9" s="238" t="s">
        <v>3</v>
      </c>
      <c r="C9" s="240" t="s">
        <v>250</v>
      </c>
      <c r="D9" s="240" t="s">
        <v>251</v>
      </c>
      <c r="E9" s="240" t="s">
        <v>95</v>
      </c>
      <c r="F9" s="240" t="s">
        <v>96</v>
      </c>
      <c r="G9" s="240" t="s">
        <v>252</v>
      </c>
    </row>
    <row r="10" spans="1:10" ht="20.25" customHeight="1" x14ac:dyDescent="0.25">
      <c r="A10" s="239"/>
      <c r="B10" s="239"/>
      <c r="C10" s="240"/>
      <c r="D10" s="240"/>
      <c r="E10" s="240"/>
      <c r="F10" s="240"/>
      <c r="G10" s="240"/>
    </row>
    <row r="11" spans="1:10" ht="17.399999999999999" x14ac:dyDescent="0.25">
      <c r="A11" s="178">
        <v>1</v>
      </c>
      <c r="B11" s="178">
        <v>2</v>
      </c>
      <c r="C11" s="178">
        <v>3</v>
      </c>
      <c r="D11" s="178">
        <v>4</v>
      </c>
      <c r="E11" s="178">
        <v>5</v>
      </c>
      <c r="F11" s="178">
        <v>6</v>
      </c>
      <c r="G11" s="178">
        <v>7</v>
      </c>
    </row>
    <row r="12" spans="1:10" s="56" customFormat="1" ht="17.399999999999999" x14ac:dyDescent="0.25">
      <c r="A12" s="232" t="s">
        <v>36</v>
      </c>
      <c r="B12" s="233"/>
      <c r="C12" s="233"/>
      <c r="D12" s="233"/>
      <c r="E12" s="233"/>
      <c r="F12" s="233"/>
      <c r="G12" s="234"/>
    </row>
    <row r="13" spans="1:10" s="56" customFormat="1" ht="17.399999999999999" x14ac:dyDescent="0.25">
      <c r="A13" s="179" t="s">
        <v>4</v>
      </c>
      <c r="B13" s="180" t="s">
        <v>37</v>
      </c>
      <c r="C13" s="186">
        <f>C14+C15</f>
        <v>21558401296.299995</v>
      </c>
      <c r="D13" s="186">
        <f t="shared" ref="D13:G13" si="0">D14+D15</f>
        <v>23907776890</v>
      </c>
      <c r="E13" s="186">
        <f t="shared" si="0"/>
        <v>26966473912</v>
      </c>
      <c r="F13" s="186">
        <f t="shared" si="0"/>
        <v>29401519508</v>
      </c>
      <c r="G13" s="186">
        <f t="shared" si="0"/>
        <v>32549981571</v>
      </c>
      <c r="J13" s="181"/>
    </row>
    <row r="14" spans="1:10" ht="17.399999999999999" x14ac:dyDescent="0.25">
      <c r="A14" s="178" t="s">
        <v>9</v>
      </c>
      <c r="B14" s="182" t="s">
        <v>15</v>
      </c>
      <c r="C14" s="187">
        <f>'додаток 2'!C82</f>
        <v>20285863049.269997</v>
      </c>
      <c r="D14" s="187">
        <f>'додаток 2'!D82</f>
        <v>22528604228</v>
      </c>
      <c r="E14" s="187">
        <f>'додаток 2'!E82</f>
        <v>26160216460</v>
      </c>
      <c r="F14" s="187">
        <f>'додаток 2'!F82</f>
        <v>28938914325</v>
      </c>
      <c r="G14" s="187">
        <f>'додаток 2'!G82</f>
        <v>32081047130</v>
      </c>
      <c r="J14" s="22"/>
    </row>
    <row r="15" spans="1:10" ht="17.399999999999999" x14ac:dyDescent="0.25">
      <c r="A15" s="178" t="s">
        <v>9</v>
      </c>
      <c r="B15" s="182" t="s">
        <v>16</v>
      </c>
      <c r="C15" s="187">
        <f>'додаток 2'!C83</f>
        <v>1272538247.03</v>
      </c>
      <c r="D15" s="187">
        <f>'додаток 2'!D83</f>
        <v>1379172662</v>
      </c>
      <c r="E15" s="187">
        <f>'додаток 2'!E83</f>
        <v>806257452</v>
      </c>
      <c r="F15" s="187">
        <f>'додаток 2'!F83</f>
        <v>462605183</v>
      </c>
      <c r="G15" s="187">
        <f>'додаток 2'!G83</f>
        <v>468934441</v>
      </c>
      <c r="J15" s="22"/>
    </row>
    <row r="16" spans="1:10" s="56" customFormat="1" ht="17.399999999999999" x14ac:dyDescent="0.25">
      <c r="A16" s="179" t="s">
        <v>5</v>
      </c>
      <c r="B16" s="183" t="s">
        <v>38</v>
      </c>
      <c r="C16" s="186">
        <f>C17+C18</f>
        <v>351380306.98000002</v>
      </c>
      <c r="D16" s="186">
        <f>D17+D18</f>
        <v>2579587857</v>
      </c>
      <c r="E16" s="186">
        <f t="shared" ref="E16:G16" si="1">E17+E18</f>
        <v>346049563</v>
      </c>
      <c r="F16" s="186">
        <f t="shared" si="1"/>
        <v>-1127939398</v>
      </c>
      <c r="G16" s="186">
        <f t="shared" si="1"/>
        <v>-1472367394</v>
      </c>
      <c r="J16" s="181"/>
    </row>
    <row r="17" spans="1:10" ht="17.399999999999999" x14ac:dyDescent="0.25">
      <c r="A17" s="178" t="s">
        <v>9</v>
      </c>
      <c r="B17" s="182" t="s">
        <v>15</v>
      </c>
      <c r="C17" s="187">
        <f>'додаток 3'!C20</f>
        <v>-3196215708.1700001</v>
      </c>
      <c r="D17" s="187">
        <f>'додаток 3'!D20</f>
        <v>-1475866745</v>
      </c>
      <c r="E17" s="187">
        <f>'додаток 3'!E20</f>
        <v>-1908735255</v>
      </c>
      <c r="F17" s="187">
        <f>'додаток 3'!F20</f>
        <v>-2941439051</v>
      </c>
      <c r="G17" s="187">
        <f>'додаток 3'!G20</f>
        <v>-4493787553</v>
      </c>
      <c r="J17" s="22"/>
    </row>
    <row r="18" spans="1:10" ht="17.399999999999999" x14ac:dyDescent="0.25">
      <c r="A18" s="178" t="s">
        <v>9</v>
      </c>
      <c r="B18" s="182" t="s">
        <v>16</v>
      </c>
      <c r="C18" s="187">
        <f>'додаток 3'!C21</f>
        <v>3547596015.1500001</v>
      </c>
      <c r="D18" s="187">
        <f>'додаток 3'!D21</f>
        <v>4055454602</v>
      </c>
      <c r="E18" s="187">
        <f>'додаток 3'!E21</f>
        <v>2254784818</v>
      </c>
      <c r="F18" s="187">
        <f>'додаток 3'!F21</f>
        <v>1813499653</v>
      </c>
      <c r="G18" s="187">
        <f>'додаток 3'!G21</f>
        <v>3021420159</v>
      </c>
      <c r="J18" s="22"/>
    </row>
    <row r="19" spans="1:10" s="56" customFormat="1" ht="17.399999999999999" x14ac:dyDescent="0.25">
      <c r="A19" s="179" t="s">
        <v>6</v>
      </c>
      <c r="B19" s="183" t="s">
        <v>39</v>
      </c>
      <c r="C19" s="186">
        <f>C20+C21</f>
        <v>6182764</v>
      </c>
      <c r="D19" s="186">
        <f t="shared" ref="D19:G19" si="2">D20+D21</f>
        <v>6960190</v>
      </c>
      <c r="E19" s="186">
        <f t="shared" si="2"/>
        <v>8924650</v>
      </c>
      <c r="F19" s="186">
        <f t="shared" si="2"/>
        <v>11124030</v>
      </c>
      <c r="G19" s="186">
        <f t="shared" si="2"/>
        <v>13315930</v>
      </c>
    </row>
    <row r="20" spans="1:10" ht="17.399999999999999" x14ac:dyDescent="0.25">
      <c r="A20" s="178" t="s">
        <v>9</v>
      </c>
      <c r="B20" s="182" t="s">
        <v>15</v>
      </c>
      <c r="C20" s="187">
        <f>'додаток 8'!C13</f>
        <v>0</v>
      </c>
      <c r="D20" s="187">
        <f>'додаток 8'!D13</f>
        <v>0</v>
      </c>
      <c r="E20" s="187">
        <f>'додаток 8'!E13</f>
        <v>0</v>
      </c>
      <c r="F20" s="187">
        <f>'додаток 8'!F13</f>
        <v>0</v>
      </c>
      <c r="G20" s="187">
        <f>'додаток 8'!G13</f>
        <v>0</v>
      </c>
    </row>
    <row r="21" spans="1:10" ht="17.399999999999999" x14ac:dyDescent="0.25">
      <c r="A21" s="178" t="s">
        <v>9</v>
      </c>
      <c r="B21" s="182" t="s">
        <v>16</v>
      </c>
      <c r="C21" s="187">
        <f>-'додаток 8'!C14</f>
        <v>6182764</v>
      </c>
      <c r="D21" s="187">
        <f>-'додаток 8'!D14</f>
        <v>6960190</v>
      </c>
      <c r="E21" s="187">
        <f>-'додаток 8'!E14</f>
        <v>8924650</v>
      </c>
      <c r="F21" s="187">
        <f>-'додаток 8'!F14</f>
        <v>11124030</v>
      </c>
      <c r="G21" s="187">
        <f>-'додаток 8'!G14</f>
        <v>13315930</v>
      </c>
    </row>
    <row r="22" spans="1:10" s="56" customFormat="1" ht="17.399999999999999" x14ac:dyDescent="0.25">
      <c r="A22" s="179" t="s">
        <v>9</v>
      </c>
      <c r="B22" s="183" t="s">
        <v>40</v>
      </c>
      <c r="C22" s="186">
        <f>C23+C24</f>
        <v>21915964367.279999</v>
      </c>
      <c r="D22" s="186">
        <f t="shared" ref="D22:G22" si="3">D23+D24</f>
        <v>26494324937</v>
      </c>
      <c r="E22" s="186">
        <f t="shared" si="3"/>
        <v>27321448125</v>
      </c>
      <c r="F22" s="186">
        <f t="shared" si="3"/>
        <v>28284704140</v>
      </c>
      <c r="G22" s="186">
        <f t="shared" si="3"/>
        <v>31090930107</v>
      </c>
    </row>
    <row r="23" spans="1:10" ht="17.399999999999999" x14ac:dyDescent="0.25">
      <c r="A23" s="178" t="s">
        <v>9</v>
      </c>
      <c r="B23" s="182" t="s">
        <v>15</v>
      </c>
      <c r="C23" s="187">
        <f>C14+C17+C20</f>
        <v>17089647341.099997</v>
      </c>
      <c r="D23" s="187">
        <f>D14+D17+D20</f>
        <v>21052737483</v>
      </c>
      <c r="E23" s="187">
        <f>E14+E17+E20</f>
        <v>24251481205</v>
      </c>
      <c r="F23" s="187">
        <f t="shared" ref="F23:G23" si="4">F14+F17+F20</f>
        <v>25997475274</v>
      </c>
      <c r="G23" s="187">
        <f t="shared" si="4"/>
        <v>27587259577</v>
      </c>
      <c r="I23" s="55"/>
    </row>
    <row r="24" spans="1:10" ht="17.399999999999999" x14ac:dyDescent="0.25">
      <c r="A24" s="178" t="s">
        <v>9</v>
      </c>
      <c r="B24" s="182" t="s">
        <v>16</v>
      </c>
      <c r="C24" s="187">
        <f>C15+C18+C21</f>
        <v>4826317026.1800003</v>
      </c>
      <c r="D24" s="187">
        <f t="shared" ref="D24:G24" si="5">D15+D18+D21</f>
        <v>5441587454</v>
      </c>
      <c r="E24" s="187">
        <f t="shared" si="5"/>
        <v>3069966920</v>
      </c>
      <c r="F24" s="187">
        <f t="shared" si="5"/>
        <v>2287228866</v>
      </c>
      <c r="G24" s="187">
        <f t="shared" si="5"/>
        <v>3503670530</v>
      </c>
    </row>
    <row r="25" spans="1:10" s="56" customFormat="1" ht="21.75" customHeight="1" x14ac:dyDescent="0.25">
      <c r="A25" s="232" t="s">
        <v>41</v>
      </c>
      <c r="B25" s="233"/>
      <c r="C25" s="233"/>
      <c r="D25" s="233"/>
      <c r="E25" s="233"/>
      <c r="F25" s="233"/>
      <c r="G25" s="234"/>
    </row>
    <row r="26" spans="1:10" s="56" customFormat="1" ht="18" customHeight="1" x14ac:dyDescent="0.25">
      <c r="A26" s="179" t="s">
        <v>4</v>
      </c>
      <c r="B26" s="180" t="s">
        <v>42</v>
      </c>
      <c r="C26" s="186">
        <f>C27+C28</f>
        <v>21880988579.279999</v>
      </c>
      <c r="D26" s="186">
        <f t="shared" ref="D26:G26" si="6">D27+D28</f>
        <v>26095102047</v>
      </c>
      <c r="E26" s="186">
        <f t="shared" si="6"/>
        <v>26911958457</v>
      </c>
      <c r="F26" s="186">
        <f t="shared" si="6"/>
        <v>27748328157</v>
      </c>
      <c r="G26" s="186">
        <f t="shared" si="6"/>
        <v>30571972118</v>
      </c>
      <c r="J26" s="181"/>
    </row>
    <row r="27" spans="1:10" ht="17.399999999999999" x14ac:dyDescent="0.25">
      <c r="A27" s="178" t="s">
        <v>9</v>
      </c>
      <c r="B27" s="182" t="s">
        <v>15</v>
      </c>
      <c r="C27" s="187">
        <f>'додаток 7'!C45</f>
        <v>17062045641.1</v>
      </c>
      <c r="D27" s="187">
        <f>'додаток 7'!D45</f>
        <v>21022265183</v>
      </c>
      <c r="E27" s="187">
        <f>'додаток 7'!E45</f>
        <v>24218175005</v>
      </c>
      <c r="F27" s="187">
        <f>'додаток 7'!F45</f>
        <v>25961671074</v>
      </c>
      <c r="G27" s="187">
        <f>'додаток 7'!G45</f>
        <v>27549342977</v>
      </c>
      <c r="J27" s="181"/>
    </row>
    <row r="28" spans="1:10" ht="17.399999999999999" x14ac:dyDescent="0.25">
      <c r="A28" s="178" t="s">
        <v>9</v>
      </c>
      <c r="B28" s="182" t="s">
        <v>93</v>
      </c>
      <c r="C28" s="187">
        <f>'додаток 7'!C46</f>
        <v>4818942938.1800003</v>
      </c>
      <c r="D28" s="187">
        <f>'додаток 7'!D46</f>
        <v>5072836864</v>
      </c>
      <c r="E28" s="187">
        <f>'додаток 7'!E46</f>
        <v>2693783452</v>
      </c>
      <c r="F28" s="187">
        <f>'додаток 7'!F46</f>
        <v>1786657083</v>
      </c>
      <c r="G28" s="187">
        <f>'додаток 7'!G46</f>
        <v>3022629141</v>
      </c>
      <c r="J28" s="181"/>
    </row>
    <row r="29" spans="1:10" ht="17.399999999999999" x14ac:dyDescent="0.25">
      <c r="A29" s="178" t="s">
        <v>9</v>
      </c>
      <c r="B29" s="182" t="s">
        <v>94</v>
      </c>
      <c r="C29" s="187">
        <f>'додаток 9'!F136</f>
        <v>0</v>
      </c>
      <c r="D29" s="187">
        <f>'додаток 9'!G136</f>
        <v>2965376639.54</v>
      </c>
      <c r="E29" s="187">
        <f>'додаток 9'!H136</f>
        <v>1659228300</v>
      </c>
      <c r="F29" s="187">
        <f>'додаток 9'!I136</f>
        <v>513652000</v>
      </c>
      <c r="G29" s="187">
        <f>'додаток 9'!J136</f>
        <v>1776694800</v>
      </c>
      <c r="J29" s="181"/>
    </row>
    <row r="30" spans="1:10" s="56" customFormat="1" ht="17.399999999999999" x14ac:dyDescent="0.25">
      <c r="A30" s="179" t="s">
        <v>5</v>
      </c>
      <c r="B30" s="183" t="s">
        <v>49</v>
      </c>
      <c r="C30" s="186">
        <f>C31+C32</f>
        <v>34975788</v>
      </c>
      <c r="D30" s="186">
        <f t="shared" ref="D30:G30" si="7">D31+D32</f>
        <v>399222890</v>
      </c>
      <c r="E30" s="186">
        <f t="shared" si="7"/>
        <v>409489668</v>
      </c>
      <c r="F30" s="186">
        <f t="shared" si="7"/>
        <v>536375983</v>
      </c>
      <c r="G30" s="186">
        <f t="shared" si="7"/>
        <v>518957989</v>
      </c>
    </row>
    <row r="31" spans="1:10" ht="17.399999999999999" x14ac:dyDescent="0.25">
      <c r="A31" s="178" t="s">
        <v>9</v>
      </c>
      <c r="B31" s="182" t="s">
        <v>15</v>
      </c>
      <c r="C31" s="187">
        <f>'додаток 8'!C17</f>
        <v>27601700</v>
      </c>
      <c r="D31" s="187">
        <f>'додаток 8'!D17</f>
        <v>30472300</v>
      </c>
      <c r="E31" s="187">
        <f>'додаток 8'!E17</f>
        <v>33306200</v>
      </c>
      <c r="F31" s="187">
        <f>'додаток 8'!F17</f>
        <v>35804200</v>
      </c>
      <c r="G31" s="187">
        <f>'додаток 8'!G17</f>
        <v>37916600</v>
      </c>
      <c r="J31" s="22"/>
    </row>
    <row r="32" spans="1:10" ht="17.399999999999999" x14ac:dyDescent="0.25">
      <c r="A32" s="178" t="s">
        <v>9</v>
      </c>
      <c r="B32" s="182" t="s">
        <v>93</v>
      </c>
      <c r="C32" s="187">
        <f>'додаток 8'!C19</f>
        <v>7374088</v>
      </c>
      <c r="D32" s="187">
        <f>'додаток 8'!D19</f>
        <v>368750590</v>
      </c>
      <c r="E32" s="187">
        <f>'додаток 8'!E19</f>
        <v>376183468</v>
      </c>
      <c r="F32" s="187">
        <f>'додаток 8'!F19</f>
        <v>500571783</v>
      </c>
      <c r="G32" s="187">
        <f>'додаток 8'!G19</f>
        <v>481041389</v>
      </c>
    </row>
    <row r="33" spans="1:7" s="56" customFormat="1" ht="17.399999999999999" x14ac:dyDescent="0.25">
      <c r="A33" s="179" t="s">
        <v>9</v>
      </c>
      <c r="B33" s="183" t="s">
        <v>43</v>
      </c>
      <c r="C33" s="186">
        <f>C34+C35</f>
        <v>21915964367.279999</v>
      </c>
      <c r="D33" s="186">
        <f>D34+D35</f>
        <v>26494324937</v>
      </c>
      <c r="E33" s="186">
        <f t="shared" ref="E33:G33" si="8">E34+E35</f>
        <v>27321448125</v>
      </c>
      <c r="F33" s="186">
        <f t="shared" si="8"/>
        <v>28284704140</v>
      </c>
      <c r="G33" s="186">
        <f t="shared" si="8"/>
        <v>31090930107</v>
      </c>
    </row>
    <row r="34" spans="1:7" ht="17.399999999999999" x14ac:dyDescent="0.25">
      <c r="A34" s="178" t="s">
        <v>9</v>
      </c>
      <c r="B34" s="182" t="s">
        <v>15</v>
      </c>
      <c r="C34" s="187">
        <f>C27+C31</f>
        <v>17089647341.1</v>
      </c>
      <c r="D34" s="187">
        <f t="shared" ref="D34:G34" si="9">D27+D31</f>
        <v>21052737483</v>
      </c>
      <c r="E34" s="187">
        <f t="shared" si="9"/>
        <v>24251481205</v>
      </c>
      <c r="F34" s="187">
        <f t="shared" si="9"/>
        <v>25997475274</v>
      </c>
      <c r="G34" s="187">
        <f t="shared" si="9"/>
        <v>27587259577</v>
      </c>
    </row>
    <row r="35" spans="1:7" ht="17.399999999999999" x14ac:dyDescent="0.25">
      <c r="A35" s="178" t="s">
        <v>9</v>
      </c>
      <c r="B35" s="182" t="s">
        <v>93</v>
      </c>
      <c r="C35" s="187">
        <f>C28+C32</f>
        <v>4826317026.1800003</v>
      </c>
      <c r="D35" s="187">
        <f t="shared" ref="D35:G35" si="10">D28+D32</f>
        <v>5441587454</v>
      </c>
      <c r="E35" s="187">
        <f t="shared" si="10"/>
        <v>3069966920</v>
      </c>
      <c r="F35" s="187">
        <f t="shared" si="10"/>
        <v>2287228866</v>
      </c>
      <c r="G35" s="187">
        <f t="shared" si="10"/>
        <v>3503670530</v>
      </c>
    </row>
    <row r="36" spans="1:7" ht="17.399999999999999" x14ac:dyDescent="0.25">
      <c r="A36" s="178" t="s">
        <v>9</v>
      </c>
      <c r="B36" s="182" t="s">
        <v>94</v>
      </c>
      <c r="C36" s="187">
        <v>0</v>
      </c>
      <c r="D36" s="187">
        <f>'додаток 9'!G136</f>
        <v>2965376639.54</v>
      </c>
      <c r="E36" s="187">
        <f>E29</f>
        <v>1659228300</v>
      </c>
      <c r="F36" s="187">
        <f t="shared" ref="F36:G36" si="11">F29</f>
        <v>513652000</v>
      </c>
      <c r="G36" s="187">
        <f t="shared" si="11"/>
        <v>1776694800</v>
      </c>
    </row>
    <row r="37" spans="1:7" ht="53.4" customHeight="1" x14ac:dyDescent="0.25">
      <c r="A37" s="7"/>
      <c r="D37" s="55"/>
    </row>
    <row r="38" spans="1:7" ht="17.399999999999999" x14ac:dyDescent="0.25">
      <c r="A38" s="33" t="s">
        <v>167</v>
      </c>
      <c r="B38" s="33"/>
      <c r="C38" s="34"/>
      <c r="D38" s="35"/>
      <c r="E38" s="36"/>
      <c r="F38" s="36" t="s">
        <v>168</v>
      </c>
    </row>
    <row r="39" spans="1:7" ht="27" customHeight="1" x14ac:dyDescent="0.3">
      <c r="A39" s="36"/>
      <c r="B39" s="36"/>
      <c r="C39" s="34"/>
      <c r="D39" s="34"/>
      <c r="E39" s="37"/>
      <c r="F39" s="37"/>
    </row>
    <row r="40" spans="1:7" ht="17.399999999999999" x14ac:dyDescent="0.3">
      <c r="A40" s="38" t="s">
        <v>169</v>
      </c>
      <c r="B40" s="38"/>
      <c r="C40" s="38"/>
      <c r="D40" s="38"/>
      <c r="E40" s="39"/>
      <c r="F40" s="39"/>
    </row>
    <row r="41" spans="1:7" ht="17.399999999999999" x14ac:dyDescent="0.3">
      <c r="A41" s="38" t="s">
        <v>170</v>
      </c>
      <c r="B41" s="38"/>
      <c r="C41" s="38"/>
      <c r="D41" s="38"/>
      <c r="E41" s="39"/>
      <c r="F41" s="39" t="s">
        <v>171</v>
      </c>
    </row>
    <row r="42" spans="1:7" ht="32.4" customHeight="1" x14ac:dyDescent="0.3">
      <c r="A42" s="38"/>
      <c r="B42" s="38"/>
      <c r="C42" s="38"/>
      <c r="D42" s="38"/>
      <c r="E42" s="39"/>
      <c r="F42" s="39"/>
    </row>
    <row r="43" spans="1:7" ht="17.399999999999999" x14ac:dyDescent="0.3">
      <c r="A43" s="40" t="s">
        <v>172</v>
      </c>
      <c r="B43" s="40"/>
      <c r="C43" s="40"/>
      <c r="D43" s="40"/>
      <c r="E43" s="38"/>
      <c r="F43" s="38"/>
    </row>
    <row r="44" spans="1:7" ht="17.399999999999999" x14ac:dyDescent="0.3">
      <c r="A44" s="36" t="s">
        <v>173</v>
      </c>
      <c r="B44" s="36"/>
      <c r="C44" s="36"/>
      <c r="D44" s="36"/>
      <c r="E44" s="39"/>
      <c r="F44" s="39" t="s">
        <v>174</v>
      </c>
    </row>
    <row r="45" spans="1:7" ht="17.399999999999999" x14ac:dyDescent="0.3">
      <c r="A45" s="36"/>
      <c r="B45" s="36"/>
      <c r="C45" s="36"/>
      <c r="D45" s="36"/>
      <c r="E45" s="39"/>
      <c r="F45" s="39"/>
    </row>
    <row r="46" spans="1:7" s="56" customFormat="1" x14ac:dyDescent="0.25">
      <c r="C46" s="151"/>
      <c r="D46" s="151"/>
      <c r="E46" s="151"/>
      <c r="F46" s="151"/>
      <c r="G46" s="151"/>
    </row>
    <row r="47" spans="1:7" x14ac:dyDescent="0.25">
      <c r="C47" s="55"/>
      <c r="D47" s="55"/>
      <c r="E47" s="55"/>
      <c r="F47" s="55"/>
      <c r="G47" s="55"/>
    </row>
    <row r="48" spans="1:7" x14ac:dyDescent="0.25">
      <c r="C48" s="55"/>
      <c r="D48" s="55"/>
      <c r="E48" s="55"/>
      <c r="F48" s="55"/>
      <c r="G48" s="55"/>
    </row>
    <row r="50" spans="2:7" x14ac:dyDescent="0.25">
      <c r="C50" s="55"/>
      <c r="D50" s="55"/>
      <c r="E50" s="55"/>
      <c r="F50" s="55"/>
      <c r="G50" s="55"/>
    </row>
    <row r="51" spans="2:7" x14ac:dyDescent="0.25">
      <c r="C51" s="55"/>
      <c r="D51" s="55"/>
      <c r="E51" s="55"/>
      <c r="F51" s="55"/>
      <c r="G51" s="55"/>
    </row>
    <row r="52" spans="2:7" x14ac:dyDescent="0.25">
      <c r="C52" s="55"/>
      <c r="D52" s="55"/>
      <c r="E52" s="55"/>
      <c r="F52" s="55"/>
      <c r="G52" s="55"/>
    </row>
    <row r="53" spans="2:7" x14ac:dyDescent="0.25">
      <c r="C53" s="55"/>
      <c r="D53" s="55"/>
      <c r="E53" s="55"/>
      <c r="F53" s="55"/>
      <c r="G53" s="55"/>
    </row>
    <row r="54" spans="2:7" x14ac:dyDescent="0.25">
      <c r="B54" s="184"/>
      <c r="C54" s="55"/>
      <c r="D54" s="55"/>
      <c r="E54" s="55"/>
      <c r="F54" s="55"/>
      <c r="G54" s="55"/>
    </row>
    <row r="55" spans="2:7" x14ac:dyDescent="0.25">
      <c r="B55" s="184"/>
      <c r="C55" s="55"/>
      <c r="D55" s="55"/>
      <c r="E55" s="55"/>
      <c r="F55" s="55"/>
      <c r="G55" s="55"/>
    </row>
    <row r="56" spans="2:7" x14ac:dyDescent="0.25">
      <c r="D56" s="181"/>
      <c r="E56" s="181"/>
      <c r="F56" s="181"/>
      <c r="G56" s="181"/>
    </row>
    <row r="57" spans="2:7" x14ac:dyDescent="0.25">
      <c r="C57" s="22"/>
      <c r="D57" s="22"/>
      <c r="E57" s="22"/>
      <c r="F57" s="22"/>
      <c r="G57" s="22"/>
    </row>
    <row r="58" spans="2:7" x14ac:dyDescent="0.25">
      <c r="C58" s="55"/>
      <c r="D58" s="22"/>
      <c r="E58" s="22"/>
      <c r="F58" s="22"/>
      <c r="G58" s="22"/>
    </row>
    <row r="59" spans="2:7" x14ac:dyDescent="0.25">
      <c r="C59" s="22"/>
      <c r="D59" s="22"/>
      <c r="E59" s="22"/>
      <c r="F59" s="22"/>
      <c r="G59" s="22"/>
    </row>
    <row r="60" spans="2:7" x14ac:dyDescent="0.25">
      <c r="C60" s="22"/>
    </row>
    <row r="61" spans="2:7" x14ac:dyDescent="0.25">
      <c r="C61" s="22"/>
    </row>
    <row r="62" spans="2:7" x14ac:dyDescent="0.25">
      <c r="C62" s="22"/>
      <c r="D62" s="22"/>
    </row>
    <row r="63" spans="2:7" x14ac:dyDescent="0.25">
      <c r="C63" s="22"/>
      <c r="D63" s="22"/>
    </row>
    <row r="64" spans="2:7" x14ac:dyDescent="0.25">
      <c r="D64" s="22"/>
    </row>
    <row r="65" spans="4:5" x14ac:dyDescent="0.25">
      <c r="D65" s="22"/>
      <c r="E65" s="22"/>
    </row>
    <row r="66" spans="4:5" x14ac:dyDescent="0.25">
      <c r="D66" s="22"/>
      <c r="E66" s="22"/>
    </row>
  </sheetData>
  <mergeCells count="14">
    <mergeCell ref="F1:G1"/>
    <mergeCell ref="F2:G2"/>
    <mergeCell ref="A12:G12"/>
    <mergeCell ref="A25:G25"/>
    <mergeCell ref="A6:B6"/>
    <mergeCell ref="A7:B7"/>
    <mergeCell ref="A4:G4"/>
    <mergeCell ref="A9:A10"/>
    <mergeCell ref="B9:B10"/>
    <mergeCell ref="C9:C10"/>
    <mergeCell ref="D9:D10"/>
    <mergeCell ref="E9:E10"/>
    <mergeCell ref="F9:F10"/>
    <mergeCell ref="G9:G10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zoomScale="80" zoomScaleNormal="80" workbookViewId="0"/>
  </sheetViews>
  <sheetFormatPr defaultColWidth="9.109375" defaultRowHeight="13.8" x14ac:dyDescent="0.25"/>
  <cols>
    <col min="1" max="1" width="22" style="1" customWidth="1"/>
    <col min="2" max="2" width="90" style="1" customWidth="1"/>
    <col min="3" max="3" width="18.6640625" style="1" customWidth="1"/>
    <col min="4" max="4" width="19.109375" style="1" customWidth="1"/>
    <col min="5" max="5" width="18.6640625" style="1" customWidth="1"/>
    <col min="6" max="6" width="17.6640625" style="1" customWidth="1"/>
    <col min="7" max="7" width="18.5546875" style="1" customWidth="1"/>
    <col min="8" max="16384" width="9.109375" style="1"/>
  </cols>
  <sheetData>
    <row r="1" spans="1:7" ht="20.399999999999999" customHeight="1" x14ac:dyDescent="0.35">
      <c r="A1" s="10"/>
      <c r="B1" s="10"/>
      <c r="C1" s="10"/>
      <c r="D1" s="10"/>
      <c r="E1" s="10"/>
      <c r="F1" s="289" t="s">
        <v>388</v>
      </c>
      <c r="G1" s="290"/>
    </row>
    <row r="2" spans="1:7" ht="72.599999999999994" customHeight="1" x14ac:dyDescent="0.25">
      <c r="A2" s="10"/>
      <c r="B2" s="10"/>
      <c r="C2" s="10"/>
      <c r="D2" s="10"/>
      <c r="E2" s="10"/>
      <c r="F2" s="265" t="s">
        <v>249</v>
      </c>
      <c r="G2" s="266"/>
    </row>
    <row r="3" spans="1:7" ht="13.8" customHeight="1" x14ac:dyDescent="0.25">
      <c r="A3" s="10"/>
      <c r="B3" s="10"/>
      <c r="C3" s="10"/>
      <c r="D3" s="10"/>
      <c r="E3" s="10"/>
      <c r="F3" s="7"/>
      <c r="G3" s="10"/>
    </row>
    <row r="4" spans="1:7" ht="17.399999999999999" x14ac:dyDescent="0.25">
      <c r="A4" s="237" t="s">
        <v>52</v>
      </c>
      <c r="B4" s="237"/>
      <c r="C4" s="237"/>
      <c r="D4" s="237"/>
      <c r="E4" s="237"/>
      <c r="F4" s="237"/>
      <c r="G4" s="237"/>
    </row>
    <row r="5" spans="1:7" ht="12" customHeight="1" x14ac:dyDescent="0.25">
      <c r="A5" s="25"/>
      <c r="B5" s="25"/>
      <c r="C5" s="25"/>
      <c r="D5" s="25"/>
      <c r="E5" s="25"/>
      <c r="F5" s="25"/>
      <c r="G5" s="25"/>
    </row>
    <row r="6" spans="1:7" ht="15" x14ac:dyDescent="0.25">
      <c r="A6" s="259">
        <v>1356300000</v>
      </c>
      <c r="B6" s="259"/>
      <c r="C6" s="10"/>
      <c r="D6" s="10"/>
      <c r="E6" s="10"/>
      <c r="F6" s="10"/>
      <c r="G6" s="10"/>
    </row>
    <row r="7" spans="1:7" ht="15" x14ac:dyDescent="0.25">
      <c r="A7" s="260" t="s">
        <v>0</v>
      </c>
      <c r="B7" s="260"/>
      <c r="C7" s="10"/>
      <c r="D7" s="10"/>
      <c r="E7" s="10"/>
      <c r="F7" s="10"/>
      <c r="G7" s="10"/>
    </row>
    <row r="8" spans="1:7" ht="15.6" x14ac:dyDescent="0.25">
      <c r="A8" s="10"/>
      <c r="B8" s="10"/>
      <c r="C8" s="10"/>
      <c r="D8" s="10"/>
      <c r="E8" s="10"/>
      <c r="F8" s="10"/>
      <c r="G8" s="31" t="s">
        <v>11</v>
      </c>
    </row>
    <row r="9" spans="1:7" ht="32.25" customHeight="1" x14ac:dyDescent="0.25">
      <c r="A9" s="270" t="s">
        <v>141</v>
      </c>
      <c r="B9" s="270" t="s">
        <v>142</v>
      </c>
      <c r="C9" s="247" t="s">
        <v>250</v>
      </c>
      <c r="D9" s="247" t="s">
        <v>251</v>
      </c>
      <c r="E9" s="247" t="s">
        <v>95</v>
      </c>
      <c r="F9" s="247" t="s">
        <v>96</v>
      </c>
      <c r="G9" s="247" t="s">
        <v>252</v>
      </c>
    </row>
    <row r="10" spans="1:7" x14ac:dyDescent="0.25">
      <c r="A10" s="271"/>
      <c r="B10" s="271"/>
      <c r="C10" s="247"/>
      <c r="D10" s="247"/>
      <c r="E10" s="247"/>
      <c r="F10" s="247"/>
      <c r="G10" s="247"/>
    </row>
    <row r="11" spans="1:7" ht="15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</row>
    <row r="12" spans="1:7" s="14" customFormat="1" ht="15.6" x14ac:dyDescent="0.25">
      <c r="A12" s="288" t="s">
        <v>53</v>
      </c>
      <c r="B12" s="288"/>
      <c r="C12" s="288"/>
      <c r="D12" s="288"/>
      <c r="E12" s="288"/>
      <c r="F12" s="288"/>
      <c r="G12" s="288"/>
    </row>
    <row r="13" spans="1:7" s="14" customFormat="1" ht="64.5" customHeight="1" x14ac:dyDescent="0.25">
      <c r="A13" s="103">
        <v>41021400</v>
      </c>
      <c r="B13" s="104" t="s">
        <v>255</v>
      </c>
      <c r="C13" s="105">
        <v>0</v>
      </c>
      <c r="D13" s="105">
        <v>85334200</v>
      </c>
      <c r="E13" s="105"/>
      <c r="F13" s="105"/>
      <c r="G13" s="105"/>
    </row>
    <row r="14" spans="1:7" s="14" customFormat="1" ht="15" x14ac:dyDescent="0.25">
      <c r="A14" s="106">
        <v>9900000000</v>
      </c>
      <c r="B14" s="107" t="s">
        <v>63</v>
      </c>
      <c r="C14" s="108">
        <v>0</v>
      </c>
      <c r="D14" s="28">
        <v>85334200</v>
      </c>
      <c r="E14" s="28"/>
      <c r="F14" s="28"/>
      <c r="G14" s="28"/>
    </row>
    <row r="15" spans="1:7" s="14" customFormat="1" ht="31.2" x14ac:dyDescent="0.25">
      <c r="A15" s="103" t="s">
        <v>256</v>
      </c>
      <c r="B15" s="104" t="s">
        <v>257</v>
      </c>
      <c r="C15" s="105">
        <v>40162084.609999999</v>
      </c>
      <c r="D15" s="105">
        <v>129688100</v>
      </c>
      <c r="E15" s="105"/>
      <c r="F15" s="105"/>
      <c r="G15" s="105"/>
    </row>
    <row r="16" spans="1:7" s="14" customFormat="1" ht="15" x14ac:dyDescent="0.25">
      <c r="A16" s="106">
        <v>9900000000</v>
      </c>
      <c r="B16" s="107" t="s">
        <v>63</v>
      </c>
      <c r="C16" s="108">
        <v>40162084.609999999</v>
      </c>
      <c r="D16" s="28">
        <v>129688100</v>
      </c>
      <c r="E16" s="28"/>
      <c r="F16" s="28"/>
      <c r="G16" s="28"/>
    </row>
    <row r="17" spans="1:7" ht="64.5" customHeight="1" x14ac:dyDescent="0.25">
      <c r="A17" s="110">
        <v>41033800</v>
      </c>
      <c r="B17" s="104" t="s">
        <v>146</v>
      </c>
      <c r="C17" s="105">
        <v>8330000</v>
      </c>
      <c r="D17" s="105">
        <v>0</v>
      </c>
      <c r="E17" s="105"/>
      <c r="F17" s="105"/>
      <c r="G17" s="105"/>
    </row>
    <row r="18" spans="1:7" s="14" customFormat="1" ht="15.6" x14ac:dyDescent="0.25">
      <c r="A18" s="111">
        <v>9900000000</v>
      </c>
      <c r="B18" s="107" t="s">
        <v>63</v>
      </c>
      <c r="C18" s="108">
        <v>8330000</v>
      </c>
      <c r="D18" s="112">
        <v>0</v>
      </c>
      <c r="E18" s="109"/>
      <c r="F18" s="109"/>
      <c r="G18" s="109"/>
    </row>
    <row r="19" spans="1:7" ht="15.6" x14ac:dyDescent="0.25">
      <c r="A19" s="110">
        <v>41033900</v>
      </c>
      <c r="B19" s="104" t="s">
        <v>64</v>
      </c>
      <c r="C19" s="105">
        <v>1761833300</v>
      </c>
      <c r="D19" s="109">
        <v>1710225800</v>
      </c>
      <c r="E19" s="109">
        <v>3430383760</v>
      </c>
      <c r="F19" s="109">
        <v>3728827150</v>
      </c>
      <c r="G19" s="109">
        <v>3993573890</v>
      </c>
    </row>
    <row r="20" spans="1:7" s="14" customFormat="1" ht="15" x14ac:dyDescent="0.25">
      <c r="A20" s="111">
        <v>9900000000</v>
      </c>
      <c r="B20" s="107" t="s">
        <v>63</v>
      </c>
      <c r="C20" s="108">
        <v>1761833300</v>
      </c>
      <c r="D20" s="112">
        <v>1710225800</v>
      </c>
      <c r="E20" s="112">
        <v>3430383760</v>
      </c>
      <c r="F20" s="112">
        <v>3728827150</v>
      </c>
      <c r="G20" s="112">
        <v>3993573890</v>
      </c>
    </row>
    <row r="21" spans="1:7" s="14" customFormat="1" ht="31.2" x14ac:dyDescent="0.25">
      <c r="A21" s="110">
        <v>41035400</v>
      </c>
      <c r="B21" s="104" t="s">
        <v>147</v>
      </c>
      <c r="C21" s="109">
        <v>11423900</v>
      </c>
      <c r="D21" s="109">
        <v>7839900</v>
      </c>
      <c r="E21" s="109"/>
      <c r="F21" s="109"/>
      <c r="G21" s="109"/>
    </row>
    <row r="22" spans="1:7" s="14" customFormat="1" ht="15" x14ac:dyDescent="0.25">
      <c r="A22" s="111">
        <v>9900000000</v>
      </c>
      <c r="B22" s="107" t="s">
        <v>63</v>
      </c>
      <c r="C22" s="28">
        <v>11423900</v>
      </c>
      <c r="D22" s="112">
        <v>7839900</v>
      </c>
      <c r="E22" s="28"/>
      <c r="F22" s="28"/>
      <c r="G22" s="28"/>
    </row>
    <row r="23" spans="1:7" s="14" customFormat="1" ht="46.8" x14ac:dyDescent="0.25">
      <c r="A23" s="110">
        <v>41036000</v>
      </c>
      <c r="B23" s="104" t="s">
        <v>164</v>
      </c>
      <c r="C23" s="109">
        <v>29304165.879999999</v>
      </c>
      <c r="D23" s="109">
        <v>62267500</v>
      </c>
      <c r="E23" s="109"/>
      <c r="F23" s="109"/>
      <c r="G23" s="109"/>
    </row>
    <row r="24" spans="1:7" s="14" customFormat="1" ht="15" x14ac:dyDescent="0.25">
      <c r="A24" s="111">
        <v>9900000000</v>
      </c>
      <c r="B24" s="107" t="s">
        <v>63</v>
      </c>
      <c r="C24" s="28">
        <v>29304165.879999999</v>
      </c>
      <c r="D24" s="112">
        <v>62267500</v>
      </c>
      <c r="E24" s="28"/>
      <c r="F24" s="28"/>
      <c r="G24" s="28"/>
    </row>
    <row r="25" spans="1:7" s="14" customFormat="1" ht="31.2" x14ac:dyDescent="0.25">
      <c r="A25" s="110">
        <v>41036300</v>
      </c>
      <c r="B25" s="104" t="s">
        <v>148</v>
      </c>
      <c r="C25" s="109">
        <v>226064494.31</v>
      </c>
      <c r="D25" s="109">
        <v>215721800</v>
      </c>
      <c r="E25" s="109"/>
      <c r="F25" s="109"/>
      <c r="G25" s="109"/>
    </row>
    <row r="26" spans="1:7" s="14" customFormat="1" ht="15" x14ac:dyDescent="0.25">
      <c r="A26" s="111">
        <v>9900000000</v>
      </c>
      <c r="B26" s="107" t="s">
        <v>63</v>
      </c>
      <c r="C26" s="28">
        <v>226064494.31</v>
      </c>
      <c r="D26" s="112">
        <v>215721800</v>
      </c>
      <c r="E26" s="28"/>
      <c r="F26" s="28"/>
      <c r="G26" s="28"/>
    </row>
    <row r="27" spans="1:7" ht="15.6" x14ac:dyDescent="0.25">
      <c r="A27" s="110">
        <v>41040400</v>
      </c>
      <c r="B27" s="104" t="s">
        <v>149</v>
      </c>
      <c r="C27" s="105">
        <v>6698623</v>
      </c>
      <c r="D27" s="105">
        <v>0</v>
      </c>
      <c r="E27" s="105"/>
      <c r="F27" s="105"/>
      <c r="G27" s="105"/>
    </row>
    <row r="28" spans="1:7" s="14" customFormat="1" ht="15" x14ac:dyDescent="0.25">
      <c r="A28" s="111">
        <v>1310000000</v>
      </c>
      <c r="B28" s="107" t="s">
        <v>67</v>
      </c>
      <c r="C28" s="108">
        <v>6698623</v>
      </c>
      <c r="D28" s="112">
        <v>0</v>
      </c>
      <c r="E28" s="28"/>
      <c r="F28" s="28"/>
      <c r="G28" s="28"/>
    </row>
    <row r="29" spans="1:7" s="14" customFormat="1" ht="238.5" customHeight="1" x14ac:dyDescent="0.25">
      <c r="A29" s="103" t="s">
        <v>258</v>
      </c>
      <c r="B29" s="104" t="s">
        <v>404</v>
      </c>
      <c r="C29" s="105">
        <v>276893179.60000002</v>
      </c>
      <c r="D29" s="105">
        <v>0</v>
      </c>
      <c r="E29" s="105"/>
      <c r="F29" s="105"/>
      <c r="G29" s="105"/>
    </row>
    <row r="30" spans="1:7" s="14" customFormat="1" ht="15" x14ac:dyDescent="0.25">
      <c r="A30" s="106">
        <v>1310000000</v>
      </c>
      <c r="B30" s="107" t="s">
        <v>67</v>
      </c>
      <c r="C30" s="108">
        <v>276893179.60000002</v>
      </c>
      <c r="D30" s="28">
        <v>0</v>
      </c>
      <c r="E30" s="28"/>
      <c r="F30" s="28"/>
      <c r="G30" s="28"/>
    </row>
    <row r="31" spans="1:7" s="14" customFormat="1" ht="234.75" customHeight="1" x14ac:dyDescent="0.25">
      <c r="A31" s="103">
        <v>41050400</v>
      </c>
      <c r="B31" s="104" t="s">
        <v>405</v>
      </c>
      <c r="C31" s="105">
        <v>0</v>
      </c>
      <c r="D31" s="105">
        <v>176449958</v>
      </c>
      <c r="E31" s="105"/>
      <c r="F31" s="105"/>
      <c r="G31" s="105"/>
    </row>
    <row r="32" spans="1:7" s="14" customFormat="1" ht="15" x14ac:dyDescent="0.25">
      <c r="A32" s="106">
        <v>1310000000</v>
      </c>
      <c r="B32" s="107" t="s">
        <v>67</v>
      </c>
      <c r="C32" s="108">
        <v>0</v>
      </c>
      <c r="D32" s="112">
        <v>176449958</v>
      </c>
      <c r="E32" s="28"/>
      <c r="F32" s="28"/>
      <c r="G32" s="28"/>
    </row>
    <row r="33" spans="1:7" s="14" customFormat="1" ht="31.2" x14ac:dyDescent="0.25">
      <c r="A33" s="110">
        <v>41051000</v>
      </c>
      <c r="B33" s="104" t="s">
        <v>65</v>
      </c>
      <c r="C33" s="105">
        <v>77710852.189999998</v>
      </c>
      <c r="D33" s="105">
        <v>55909900</v>
      </c>
      <c r="E33" s="105"/>
      <c r="F33" s="105"/>
      <c r="G33" s="105"/>
    </row>
    <row r="34" spans="1:7" ht="15" x14ac:dyDescent="0.25">
      <c r="A34" s="111">
        <v>1310000000</v>
      </c>
      <c r="B34" s="107" t="s">
        <v>67</v>
      </c>
      <c r="C34" s="108">
        <v>77710852.189999998</v>
      </c>
      <c r="D34" s="112">
        <v>55909900</v>
      </c>
      <c r="E34" s="112"/>
      <c r="F34" s="112"/>
      <c r="G34" s="112"/>
    </row>
    <row r="35" spans="1:7" ht="31.2" x14ac:dyDescent="0.3">
      <c r="A35" s="130">
        <v>41053800</v>
      </c>
      <c r="B35" s="131" t="s">
        <v>296</v>
      </c>
      <c r="C35" s="141">
        <v>0</v>
      </c>
      <c r="D35" s="141">
        <v>0</v>
      </c>
      <c r="E35" s="29">
        <v>190000</v>
      </c>
      <c r="F35" s="29">
        <v>180000</v>
      </c>
      <c r="G35" s="29">
        <v>190000</v>
      </c>
    </row>
    <row r="36" spans="1:7" ht="15" x14ac:dyDescent="0.25">
      <c r="A36" s="111">
        <v>1353600000</v>
      </c>
      <c r="B36" s="107" t="s">
        <v>150</v>
      </c>
      <c r="C36" s="108">
        <v>0</v>
      </c>
      <c r="D36" s="112">
        <v>0</v>
      </c>
      <c r="E36" s="112">
        <v>190000</v>
      </c>
      <c r="F36" s="112">
        <v>180000</v>
      </c>
      <c r="G36" s="112">
        <v>190000</v>
      </c>
    </row>
    <row r="37" spans="1:7" ht="15.6" x14ac:dyDescent="0.25">
      <c r="A37" s="110">
        <v>41053900</v>
      </c>
      <c r="B37" s="104" t="s">
        <v>66</v>
      </c>
      <c r="C37" s="105">
        <v>5882073.8899999997</v>
      </c>
      <c r="D37" s="109">
        <v>812000</v>
      </c>
      <c r="E37" s="109"/>
      <c r="F37" s="109"/>
      <c r="G37" s="109"/>
    </row>
    <row r="38" spans="1:7" ht="15" x14ac:dyDescent="0.25">
      <c r="A38" s="111">
        <v>1310000000</v>
      </c>
      <c r="B38" s="107" t="s">
        <v>67</v>
      </c>
      <c r="C38" s="113">
        <v>5798298.5</v>
      </c>
      <c r="D38" s="113">
        <v>652000</v>
      </c>
      <c r="E38" s="113"/>
      <c r="F38" s="113"/>
      <c r="G38" s="113"/>
    </row>
    <row r="39" spans="1:7" ht="15.6" x14ac:dyDescent="0.25">
      <c r="A39" s="111">
        <v>1353600000</v>
      </c>
      <c r="B39" s="107" t="s">
        <v>150</v>
      </c>
      <c r="C39" s="132">
        <v>83775.39</v>
      </c>
      <c r="D39" s="112">
        <v>160000</v>
      </c>
      <c r="E39" s="109"/>
      <c r="F39" s="109"/>
      <c r="G39" s="109"/>
    </row>
    <row r="40" spans="1:7" ht="64.8" customHeight="1" x14ac:dyDescent="0.25">
      <c r="A40" s="110">
        <v>41059300</v>
      </c>
      <c r="B40" s="104" t="s">
        <v>165</v>
      </c>
      <c r="C40" s="109">
        <v>605346.17000000004</v>
      </c>
      <c r="D40" s="109">
        <v>2370586</v>
      </c>
      <c r="E40" s="109"/>
      <c r="F40" s="109"/>
      <c r="G40" s="109"/>
    </row>
    <row r="41" spans="1:7" s="14" customFormat="1" ht="15.6" x14ac:dyDescent="0.25">
      <c r="A41" s="111">
        <v>1310000000</v>
      </c>
      <c r="B41" s="107" t="s">
        <v>67</v>
      </c>
      <c r="C41" s="112">
        <v>605346.17000000004</v>
      </c>
      <c r="D41" s="112">
        <v>2370586</v>
      </c>
      <c r="E41" s="109"/>
      <c r="F41" s="109"/>
      <c r="G41" s="109"/>
    </row>
    <row r="42" spans="1:7" s="14" customFormat="1" ht="15.6" x14ac:dyDescent="0.25">
      <c r="A42" s="288" t="s">
        <v>54</v>
      </c>
      <c r="B42" s="288"/>
      <c r="C42" s="288"/>
      <c r="D42" s="288"/>
      <c r="E42" s="288"/>
      <c r="F42" s="288"/>
      <c r="G42" s="288"/>
    </row>
    <row r="43" spans="1:7" s="14" customFormat="1" ht="31.2" x14ac:dyDescent="0.25">
      <c r="A43" s="110">
        <v>41031400</v>
      </c>
      <c r="B43" s="104" t="s">
        <v>151</v>
      </c>
      <c r="C43" s="109">
        <f>C44</f>
        <v>85666752.950000003</v>
      </c>
      <c r="D43" s="109">
        <f t="shared" ref="D43" si="0">D44</f>
        <v>155512987</v>
      </c>
      <c r="E43" s="109"/>
      <c r="F43" s="109"/>
      <c r="G43" s="109"/>
    </row>
    <row r="44" spans="1:7" s="14" customFormat="1" ht="15.6" x14ac:dyDescent="0.25">
      <c r="A44" s="111">
        <v>9900000000</v>
      </c>
      <c r="B44" s="107" t="s">
        <v>63</v>
      </c>
      <c r="C44" s="112">
        <v>85666752.950000003</v>
      </c>
      <c r="D44" s="112">
        <v>155512987</v>
      </c>
      <c r="E44" s="109"/>
      <c r="F44" s="109"/>
      <c r="G44" s="109"/>
    </row>
    <row r="45" spans="1:7" s="14" customFormat="1" ht="15.6" x14ac:dyDescent="0.25">
      <c r="A45" s="103">
        <v>41033900</v>
      </c>
      <c r="B45" s="104" t="s">
        <v>64</v>
      </c>
      <c r="C45" s="105">
        <v>23601300</v>
      </c>
      <c r="D45" s="112">
        <v>0</v>
      </c>
      <c r="E45" s="109"/>
      <c r="F45" s="109"/>
      <c r="G45" s="109"/>
    </row>
    <row r="46" spans="1:7" s="14" customFormat="1" ht="15" x14ac:dyDescent="0.25">
      <c r="A46" s="106">
        <v>9900000000</v>
      </c>
      <c r="B46" s="107" t="s">
        <v>63</v>
      </c>
      <c r="C46" s="108">
        <v>23601300</v>
      </c>
      <c r="D46" s="112">
        <v>0</v>
      </c>
      <c r="E46" s="28"/>
      <c r="F46" s="28"/>
      <c r="G46" s="28"/>
    </row>
    <row r="47" spans="1:7" s="14" customFormat="1" ht="31.2" x14ac:dyDescent="0.25">
      <c r="A47" s="103">
        <v>41035400</v>
      </c>
      <c r="B47" s="104" t="s">
        <v>147</v>
      </c>
      <c r="C47" s="105">
        <v>1582600</v>
      </c>
      <c r="D47" s="112">
        <v>0</v>
      </c>
      <c r="E47" s="109"/>
      <c r="F47" s="109"/>
      <c r="G47" s="109"/>
    </row>
    <row r="48" spans="1:7" s="14" customFormat="1" ht="15" x14ac:dyDescent="0.25">
      <c r="A48" s="106">
        <v>9900000000</v>
      </c>
      <c r="B48" s="107" t="s">
        <v>63</v>
      </c>
      <c r="C48" s="108">
        <v>1582600</v>
      </c>
      <c r="D48" s="112">
        <v>0</v>
      </c>
      <c r="E48" s="28"/>
      <c r="F48" s="28"/>
      <c r="G48" s="28"/>
    </row>
    <row r="49" spans="1:7" s="14" customFormat="1" ht="31.2" x14ac:dyDescent="0.25">
      <c r="A49" s="103">
        <v>41038800</v>
      </c>
      <c r="B49" s="104" t="s">
        <v>259</v>
      </c>
      <c r="C49" s="105">
        <v>0</v>
      </c>
      <c r="D49" s="105">
        <v>2000000</v>
      </c>
      <c r="E49" s="105"/>
      <c r="F49" s="105"/>
      <c r="G49" s="105"/>
    </row>
    <row r="50" spans="1:7" s="14" customFormat="1" ht="15.6" x14ac:dyDescent="0.25">
      <c r="A50" s="106">
        <v>9900000000</v>
      </c>
      <c r="B50" s="107" t="s">
        <v>63</v>
      </c>
      <c r="C50" s="108">
        <v>0</v>
      </c>
      <c r="D50" s="112">
        <v>2000000</v>
      </c>
      <c r="E50" s="220"/>
      <c r="F50" s="220"/>
      <c r="G50" s="220"/>
    </row>
    <row r="51" spans="1:7" s="14" customFormat="1" ht="31.2" x14ac:dyDescent="0.25">
      <c r="A51" s="110">
        <v>41051100</v>
      </c>
      <c r="B51" s="104" t="s">
        <v>92</v>
      </c>
      <c r="C51" s="109">
        <v>5654252</v>
      </c>
      <c r="D51" s="109">
        <v>0</v>
      </c>
      <c r="E51" s="109"/>
      <c r="F51" s="109"/>
      <c r="G51" s="109"/>
    </row>
    <row r="52" spans="1:7" s="14" customFormat="1" ht="15" x14ac:dyDescent="0.25">
      <c r="A52" s="111">
        <v>1310000000</v>
      </c>
      <c r="B52" s="107" t="s">
        <v>67</v>
      </c>
      <c r="C52" s="112">
        <v>5654251.5199999996</v>
      </c>
      <c r="D52" s="112">
        <v>0</v>
      </c>
      <c r="E52" s="28"/>
      <c r="F52" s="28"/>
      <c r="G52" s="28"/>
    </row>
    <row r="53" spans="1:7" ht="15.6" x14ac:dyDescent="0.25">
      <c r="A53" s="110">
        <v>41053900</v>
      </c>
      <c r="B53" s="104" t="s">
        <v>66</v>
      </c>
      <c r="C53" s="105">
        <v>1422631</v>
      </c>
      <c r="D53" s="105">
        <v>0</v>
      </c>
      <c r="E53" s="105"/>
      <c r="F53" s="105"/>
      <c r="G53" s="105"/>
    </row>
    <row r="54" spans="1:7" ht="15.6" x14ac:dyDescent="0.25">
      <c r="A54" s="111">
        <v>1310000000</v>
      </c>
      <c r="B54" s="107" t="s">
        <v>67</v>
      </c>
      <c r="C54" s="113">
        <v>1422631</v>
      </c>
      <c r="D54" s="112">
        <v>0</v>
      </c>
      <c r="E54" s="109"/>
      <c r="F54" s="109"/>
      <c r="G54" s="109"/>
    </row>
    <row r="55" spans="1:7" s="14" customFormat="1" ht="18.600000000000001" customHeight="1" x14ac:dyDescent="0.25">
      <c r="A55" s="210" t="s">
        <v>9</v>
      </c>
      <c r="B55" s="104" t="s">
        <v>55</v>
      </c>
      <c r="C55" s="109">
        <v>2562835555.1199999</v>
      </c>
      <c r="D55" s="109">
        <f>D13+D15+D17+D19+D21+D23+D25+D27+D29+D31+D33+D37+D40+D35+D43+D45+D47+D49+D51+D53</f>
        <v>2604132731</v>
      </c>
      <c r="E55" s="109">
        <v>3430573760</v>
      </c>
      <c r="F55" s="109">
        <v>3729007150</v>
      </c>
      <c r="G55" s="109">
        <v>3993763890</v>
      </c>
    </row>
    <row r="56" spans="1:7" s="14" customFormat="1" ht="19.5" customHeight="1" x14ac:dyDescent="0.25">
      <c r="A56" s="43" t="s">
        <v>9</v>
      </c>
      <c r="B56" s="44" t="s">
        <v>15</v>
      </c>
      <c r="C56" s="29">
        <v>2444908019.6500001</v>
      </c>
      <c r="D56" s="29">
        <v>2446619744</v>
      </c>
      <c r="E56" s="29">
        <v>3430573760</v>
      </c>
      <c r="F56" s="29">
        <v>3729007150</v>
      </c>
      <c r="G56" s="29">
        <v>3993763890</v>
      </c>
    </row>
    <row r="57" spans="1:7" s="14" customFormat="1" ht="18" customHeight="1" x14ac:dyDescent="0.25">
      <c r="A57" s="43" t="s">
        <v>9</v>
      </c>
      <c r="B57" s="44" t="s">
        <v>16</v>
      </c>
      <c r="C57" s="29">
        <v>117927535.47</v>
      </c>
      <c r="D57" s="29">
        <f>D44+D50</f>
        <v>157512987</v>
      </c>
      <c r="E57" s="29">
        <v>0</v>
      </c>
      <c r="F57" s="29">
        <v>0</v>
      </c>
      <c r="G57" s="29">
        <v>0</v>
      </c>
    </row>
    <row r="58" spans="1:7" ht="34.200000000000003" customHeight="1" x14ac:dyDescent="0.3">
      <c r="A58" s="36"/>
      <c r="B58" s="34"/>
      <c r="C58" s="34"/>
      <c r="D58" s="37"/>
      <c r="E58" s="37"/>
    </row>
    <row r="59" spans="1:7" ht="48" customHeight="1" x14ac:dyDescent="0.3">
      <c r="A59" s="36"/>
      <c r="B59" s="34"/>
      <c r="C59" s="34"/>
      <c r="D59" s="37"/>
      <c r="E59" s="37"/>
    </row>
    <row r="60" spans="1:7" s="18" customFormat="1" ht="19.2" customHeight="1" x14ac:dyDescent="0.3">
      <c r="A60" s="33" t="s">
        <v>167</v>
      </c>
      <c r="B60" s="34"/>
      <c r="C60" s="35"/>
      <c r="D60" s="36"/>
      <c r="E60" s="36" t="s">
        <v>168</v>
      </c>
    </row>
    <row r="61" spans="1:7" ht="43.8" customHeight="1" x14ac:dyDescent="0.3">
      <c r="A61" s="36"/>
      <c r="B61" s="34"/>
      <c r="C61" s="34"/>
      <c r="D61" s="37"/>
      <c r="E61" s="37"/>
    </row>
    <row r="62" spans="1:7" ht="19.8" customHeight="1" x14ac:dyDescent="0.3">
      <c r="A62" s="38" t="s">
        <v>169</v>
      </c>
      <c r="B62" s="38"/>
      <c r="C62" s="38"/>
      <c r="D62" s="39"/>
      <c r="E62" s="39"/>
    </row>
    <row r="63" spans="1:7" ht="21" customHeight="1" x14ac:dyDescent="0.3">
      <c r="A63" s="38" t="s">
        <v>170</v>
      </c>
      <c r="B63" s="38"/>
      <c r="C63" s="38"/>
      <c r="D63" s="39"/>
      <c r="E63" s="39" t="s">
        <v>171</v>
      </c>
    </row>
    <row r="64" spans="1:7" ht="49.2" customHeight="1" x14ac:dyDescent="0.3">
      <c r="A64" s="38"/>
      <c r="B64" s="38"/>
      <c r="C64" s="38"/>
      <c r="D64" s="39"/>
      <c r="E64" s="39"/>
    </row>
    <row r="65" spans="1:7" ht="17.399999999999999" x14ac:dyDescent="0.3">
      <c r="A65" s="40" t="s">
        <v>172</v>
      </c>
      <c r="B65" s="40"/>
      <c r="C65" s="40"/>
      <c r="D65" s="38"/>
      <c r="E65" s="38"/>
    </row>
    <row r="66" spans="1:7" ht="17.399999999999999" x14ac:dyDescent="0.3">
      <c r="A66" s="36" t="s">
        <v>173</v>
      </c>
      <c r="B66" s="36"/>
      <c r="C66" s="36"/>
      <c r="D66" s="39"/>
      <c r="E66" s="39" t="s">
        <v>174</v>
      </c>
    </row>
    <row r="75" spans="1:7" x14ac:dyDescent="0.25">
      <c r="C75" s="15"/>
      <c r="D75" s="15"/>
      <c r="E75" s="15"/>
      <c r="F75" s="15"/>
      <c r="G75" s="15"/>
    </row>
    <row r="76" spans="1:7" x14ac:dyDescent="0.25">
      <c r="C76" s="15"/>
      <c r="D76" s="15"/>
      <c r="E76" s="15"/>
      <c r="F76" s="15"/>
      <c r="G76" s="15"/>
    </row>
    <row r="77" spans="1:7" x14ac:dyDescent="0.25">
      <c r="C77" s="15"/>
      <c r="D77" s="15"/>
      <c r="E77" s="15"/>
      <c r="F77" s="15"/>
      <c r="G77" s="15"/>
    </row>
    <row r="80" spans="1:7" x14ac:dyDescent="0.25">
      <c r="C80" s="15"/>
      <c r="D80" s="15"/>
      <c r="E80" s="15"/>
      <c r="F80" s="15"/>
      <c r="G80" s="15"/>
    </row>
    <row r="81" spans="3:7" x14ac:dyDescent="0.25">
      <c r="C81" s="15"/>
      <c r="D81" s="15"/>
      <c r="E81" s="15"/>
      <c r="F81" s="15"/>
      <c r="G81" s="15"/>
    </row>
    <row r="82" spans="3:7" x14ac:dyDescent="0.25">
      <c r="C82" s="15"/>
      <c r="D82" s="15"/>
      <c r="E82" s="15"/>
      <c r="F82" s="15"/>
      <c r="G82" s="15"/>
    </row>
  </sheetData>
  <mergeCells count="14">
    <mergeCell ref="A42:G42"/>
    <mergeCell ref="A4:G4"/>
    <mergeCell ref="A6:B6"/>
    <mergeCell ref="A7:B7"/>
    <mergeCell ref="F1:G1"/>
    <mergeCell ref="F2:G2"/>
    <mergeCell ref="A9:A10"/>
    <mergeCell ref="B9:B10"/>
    <mergeCell ref="A12:G12"/>
    <mergeCell ref="C9:C10"/>
    <mergeCell ref="D9:D10"/>
    <mergeCell ref="E9:E10"/>
    <mergeCell ref="F9:F10"/>
    <mergeCell ref="G9:G10"/>
  </mergeCells>
  <printOptions horizontalCentered="1"/>
  <pageMargins left="0.39370078740157483" right="0.39370078740157483" top="1.1811023622047245" bottom="0.39370078740157483" header="0.31496062992125984" footer="0.31496062992125984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zoomScale="69" zoomScaleNormal="69" workbookViewId="0"/>
  </sheetViews>
  <sheetFormatPr defaultColWidth="9.109375" defaultRowHeight="13.8" x14ac:dyDescent="0.25"/>
  <cols>
    <col min="1" max="1" width="29.44140625" style="1" customWidth="1"/>
    <col min="2" max="2" width="29.6640625" style="1" customWidth="1"/>
    <col min="3" max="3" width="68.6640625" style="1" customWidth="1"/>
    <col min="4" max="4" width="23.33203125" style="1" customWidth="1"/>
    <col min="5" max="5" width="20.44140625" style="1" customWidth="1"/>
    <col min="6" max="6" width="16.6640625" style="1" customWidth="1"/>
    <col min="7" max="7" width="18.33203125" style="1" customWidth="1"/>
    <col min="8" max="8" width="17.5546875" style="1" customWidth="1"/>
    <col min="9" max="10" width="9.109375" style="221"/>
    <col min="11" max="11" width="25" style="221" customWidth="1"/>
    <col min="12" max="12" width="18.33203125" style="221" customWidth="1"/>
    <col min="13" max="13" width="17" style="1" customWidth="1"/>
    <col min="14" max="16384" width="9.109375" style="1"/>
  </cols>
  <sheetData>
    <row r="1" spans="1:12" ht="23.4" customHeight="1" x14ac:dyDescent="0.25">
      <c r="A1" s="7"/>
      <c r="B1" s="10"/>
      <c r="C1" s="10"/>
      <c r="D1" s="10"/>
      <c r="E1" s="10"/>
      <c r="G1" s="289" t="s">
        <v>400</v>
      </c>
      <c r="H1" s="291"/>
    </row>
    <row r="2" spans="1:12" ht="73.2" customHeight="1" x14ac:dyDescent="0.25">
      <c r="A2" s="7"/>
      <c r="B2" s="10"/>
      <c r="C2" s="10"/>
      <c r="D2" s="10"/>
      <c r="E2" s="10"/>
      <c r="G2" s="265" t="s">
        <v>249</v>
      </c>
      <c r="H2" s="292"/>
    </row>
    <row r="3" spans="1:12" ht="15" x14ac:dyDescent="0.25">
      <c r="A3" s="7"/>
      <c r="B3" s="10"/>
      <c r="C3" s="10"/>
      <c r="D3" s="10"/>
      <c r="E3" s="10"/>
      <c r="F3" s="10"/>
      <c r="G3" s="7"/>
      <c r="H3" s="10"/>
    </row>
    <row r="4" spans="1:12" ht="17.399999999999999" x14ac:dyDescent="0.25">
      <c r="A4" s="237" t="s">
        <v>56</v>
      </c>
      <c r="B4" s="237"/>
      <c r="C4" s="237"/>
      <c r="D4" s="237"/>
      <c r="E4" s="237"/>
      <c r="F4" s="237"/>
      <c r="G4" s="237"/>
      <c r="H4" s="237"/>
    </row>
    <row r="5" spans="1:12" ht="15" x14ac:dyDescent="0.25">
      <c r="A5" s="259">
        <v>1356300000</v>
      </c>
      <c r="B5" s="259"/>
      <c r="C5" s="10"/>
      <c r="D5" s="10"/>
      <c r="E5" s="10"/>
      <c r="F5" s="10"/>
      <c r="G5" s="10" t="s">
        <v>21</v>
      </c>
      <c r="H5" s="10"/>
    </row>
    <row r="6" spans="1:12" ht="15" x14ac:dyDescent="0.25">
      <c r="A6" s="260" t="s">
        <v>0</v>
      </c>
      <c r="B6" s="260"/>
      <c r="C6" s="10"/>
      <c r="D6" s="10"/>
      <c r="E6" s="10"/>
      <c r="F6" s="10"/>
      <c r="G6" s="10"/>
      <c r="H6" s="10"/>
    </row>
    <row r="7" spans="1:12" ht="15.6" x14ac:dyDescent="0.25">
      <c r="A7" s="10"/>
      <c r="B7" s="10"/>
      <c r="C7" s="10"/>
      <c r="D7" s="10"/>
      <c r="E7" s="10"/>
      <c r="F7" s="10"/>
      <c r="G7" s="10"/>
      <c r="H7" s="31" t="s">
        <v>11</v>
      </c>
    </row>
    <row r="8" spans="1:12" ht="46.5" customHeight="1" x14ac:dyDescent="0.25">
      <c r="A8" s="270" t="s">
        <v>143</v>
      </c>
      <c r="B8" s="270" t="s">
        <v>144</v>
      </c>
      <c r="C8" s="295" t="s">
        <v>145</v>
      </c>
      <c r="D8" s="247" t="s">
        <v>250</v>
      </c>
      <c r="E8" s="247" t="s">
        <v>251</v>
      </c>
      <c r="F8" s="247" t="s">
        <v>95</v>
      </c>
      <c r="G8" s="247" t="s">
        <v>96</v>
      </c>
      <c r="H8" s="247" t="s">
        <v>252</v>
      </c>
    </row>
    <row r="9" spans="1:12" ht="34.200000000000003" customHeight="1" x14ac:dyDescent="0.25">
      <c r="A9" s="294"/>
      <c r="B9" s="294"/>
      <c r="C9" s="296"/>
      <c r="D9" s="247"/>
      <c r="E9" s="247"/>
      <c r="F9" s="247"/>
      <c r="G9" s="247"/>
      <c r="H9" s="247"/>
    </row>
    <row r="10" spans="1:12" ht="15" x14ac:dyDescent="0.25">
      <c r="A10" s="21">
        <v>1</v>
      </c>
      <c r="B10" s="21">
        <v>2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21">
        <v>8</v>
      </c>
    </row>
    <row r="11" spans="1:12" s="14" customFormat="1" ht="22.5" customHeight="1" x14ac:dyDescent="0.25">
      <c r="A11" s="257" t="s">
        <v>57</v>
      </c>
      <c r="B11" s="257"/>
      <c r="C11" s="257"/>
      <c r="D11" s="257"/>
      <c r="E11" s="257"/>
      <c r="F11" s="257"/>
      <c r="G11" s="257"/>
      <c r="H11" s="257"/>
      <c r="I11" s="222"/>
      <c r="J11" s="222"/>
      <c r="K11" s="222"/>
      <c r="L11" s="222"/>
    </row>
    <row r="12" spans="1:12" s="136" customFormat="1" ht="17.25" customHeight="1" x14ac:dyDescent="0.25">
      <c r="A12" s="135" t="s">
        <v>152</v>
      </c>
      <c r="B12" s="135" t="s">
        <v>153</v>
      </c>
      <c r="C12" s="104" t="s">
        <v>62</v>
      </c>
      <c r="D12" s="105">
        <f>D13</f>
        <v>1899910300</v>
      </c>
      <c r="E12" s="105">
        <f t="shared" ref="E12:H12" si="0">E13</f>
        <v>2350300800</v>
      </c>
      <c r="F12" s="105">
        <f t="shared" si="0"/>
        <v>2687289700</v>
      </c>
      <c r="G12" s="105">
        <f t="shared" si="0"/>
        <v>3215803400</v>
      </c>
      <c r="H12" s="105">
        <f t="shared" si="0"/>
        <v>3712056200</v>
      </c>
      <c r="I12" s="223"/>
      <c r="J12" s="223"/>
      <c r="K12" s="223"/>
      <c r="L12" s="223"/>
    </row>
    <row r="13" spans="1:12" s="136" customFormat="1" ht="17.25" customHeight="1" x14ac:dyDescent="0.25">
      <c r="A13" s="106">
        <v>9900000000</v>
      </c>
      <c r="B13" s="137" t="s">
        <v>153</v>
      </c>
      <c r="C13" s="107" t="s">
        <v>63</v>
      </c>
      <c r="D13" s="108">
        <f>'[2]додаток 7'!C42</f>
        <v>1899910300</v>
      </c>
      <c r="E13" s="108">
        <f>'[2]додаток 7'!D42</f>
        <v>2350300800</v>
      </c>
      <c r="F13" s="108">
        <f>'[2]додаток 7'!E42</f>
        <v>2687289700</v>
      </c>
      <c r="G13" s="108">
        <f>'[2]додаток 7'!F42</f>
        <v>3215803400</v>
      </c>
      <c r="H13" s="108">
        <f>'[2]додаток 7'!G42</f>
        <v>3712056200</v>
      </c>
      <c r="I13" s="223"/>
      <c r="J13" s="223"/>
      <c r="K13" s="223"/>
      <c r="L13" s="223"/>
    </row>
    <row r="14" spans="1:12" s="136" customFormat="1" ht="17.25" customHeight="1" x14ac:dyDescent="0.25">
      <c r="A14" s="135" t="s">
        <v>154</v>
      </c>
      <c r="B14" s="135" t="s">
        <v>155</v>
      </c>
      <c r="C14" s="104" t="s">
        <v>66</v>
      </c>
      <c r="D14" s="105">
        <f>D15</f>
        <v>5913300</v>
      </c>
      <c r="E14" s="105">
        <f>E15</f>
        <v>5000000</v>
      </c>
      <c r="F14" s="109"/>
      <c r="G14" s="109"/>
      <c r="H14" s="109"/>
      <c r="I14" s="223"/>
      <c r="J14" s="223"/>
      <c r="K14" s="204"/>
      <c r="L14" s="204"/>
    </row>
    <row r="15" spans="1:12" s="136" customFormat="1" ht="17.25" customHeight="1" x14ac:dyDescent="0.25">
      <c r="A15" s="106">
        <v>1310000000</v>
      </c>
      <c r="B15" s="137" t="s">
        <v>155</v>
      </c>
      <c r="C15" s="107" t="s">
        <v>67</v>
      </c>
      <c r="D15" s="108">
        <v>5913300</v>
      </c>
      <c r="E15" s="108">
        <v>5000000</v>
      </c>
      <c r="F15" s="109"/>
      <c r="G15" s="109"/>
      <c r="H15" s="109"/>
      <c r="I15" s="223"/>
      <c r="J15" s="223"/>
      <c r="K15" s="223"/>
      <c r="L15" s="223"/>
    </row>
    <row r="16" spans="1:12" s="136" customFormat="1" ht="17.25" customHeight="1" x14ac:dyDescent="0.25">
      <c r="A16" s="135">
        <v>1119770</v>
      </c>
      <c r="B16" s="135">
        <v>9770</v>
      </c>
      <c r="C16" s="104" t="s">
        <v>66</v>
      </c>
      <c r="D16" s="105">
        <f>D17</f>
        <v>0</v>
      </c>
      <c r="E16" s="105">
        <f>E17</f>
        <v>2400000</v>
      </c>
      <c r="F16" s="109"/>
      <c r="G16" s="109"/>
      <c r="H16" s="109"/>
      <c r="I16" s="223"/>
      <c r="J16" s="223"/>
      <c r="K16" s="223"/>
      <c r="L16" s="223"/>
    </row>
    <row r="17" spans="1:13" s="136" customFormat="1" ht="17.25" customHeight="1" x14ac:dyDescent="0.25">
      <c r="A17" s="106">
        <v>1310000000</v>
      </c>
      <c r="B17" s="137" t="s">
        <v>155</v>
      </c>
      <c r="C17" s="107" t="s">
        <v>67</v>
      </c>
      <c r="D17" s="108">
        <v>0</v>
      </c>
      <c r="E17" s="108">
        <v>2400000</v>
      </c>
      <c r="F17" s="109"/>
      <c r="G17" s="109"/>
      <c r="H17" s="109"/>
      <c r="I17" s="223"/>
      <c r="J17" s="223"/>
      <c r="K17" s="223"/>
      <c r="L17" s="223"/>
    </row>
    <row r="18" spans="1:13" s="136" customFormat="1" ht="17.25" customHeight="1" x14ac:dyDescent="0.25">
      <c r="A18" s="135">
        <v>1219770</v>
      </c>
      <c r="B18" s="135">
        <v>9770</v>
      </c>
      <c r="C18" s="104" t="s">
        <v>66</v>
      </c>
      <c r="D18" s="105">
        <f>D19</f>
        <v>0</v>
      </c>
      <c r="E18" s="105">
        <f>E19+E20</f>
        <v>17500000</v>
      </c>
      <c r="F18" s="105">
        <f t="shared" ref="F18:H18" si="1">F19+F20</f>
        <v>19127500</v>
      </c>
      <c r="G18" s="105">
        <f t="shared" si="1"/>
        <v>19127500</v>
      </c>
      <c r="H18" s="105">
        <f t="shared" si="1"/>
        <v>19127500</v>
      </c>
      <c r="I18" s="223"/>
      <c r="J18" s="223"/>
      <c r="K18" s="223"/>
      <c r="L18" s="223"/>
    </row>
    <row r="19" spans="1:13" s="136" customFormat="1" ht="17.25" customHeight="1" x14ac:dyDescent="0.25">
      <c r="A19" s="155">
        <v>1354600000</v>
      </c>
      <c r="B19" s="154" t="s">
        <v>155</v>
      </c>
      <c r="C19" s="30" t="s">
        <v>161</v>
      </c>
      <c r="D19" s="153">
        <v>0</v>
      </c>
      <c r="E19" s="153">
        <f>17500000-16000000</f>
        <v>1500000</v>
      </c>
      <c r="F19" s="28">
        <v>1102900</v>
      </c>
      <c r="G19" s="28">
        <v>1102900</v>
      </c>
      <c r="H19" s="28">
        <v>1102900</v>
      </c>
      <c r="I19" s="223"/>
      <c r="J19" s="223"/>
      <c r="K19" s="223"/>
      <c r="L19" s="223"/>
    </row>
    <row r="20" spans="1:13" s="136" customFormat="1" ht="17.25" customHeight="1" x14ac:dyDescent="0.25">
      <c r="A20" s="155">
        <v>1358100000</v>
      </c>
      <c r="B20" s="154">
        <v>9770</v>
      </c>
      <c r="C20" s="30" t="s">
        <v>162</v>
      </c>
      <c r="D20" s="153">
        <v>0</v>
      </c>
      <c r="E20" s="153">
        <v>16000000</v>
      </c>
      <c r="F20" s="28">
        <v>18024600</v>
      </c>
      <c r="G20" s="28">
        <v>18024600</v>
      </c>
      <c r="H20" s="28">
        <v>18024600</v>
      </c>
      <c r="I20" s="223"/>
      <c r="J20" s="223"/>
      <c r="K20" s="223"/>
      <c r="L20" s="223"/>
    </row>
    <row r="21" spans="1:13" s="136" customFormat="1" ht="18.75" customHeight="1" x14ac:dyDescent="0.25">
      <c r="A21" s="135">
        <v>2719770</v>
      </c>
      <c r="B21" s="135">
        <v>9770</v>
      </c>
      <c r="C21" s="104" t="s">
        <v>66</v>
      </c>
      <c r="D21" s="105">
        <f>D22</f>
        <v>1252284</v>
      </c>
      <c r="E21" s="105">
        <f>E22</f>
        <v>4300000</v>
      </c>
      <c r="F21" s="109"/>
      <c r="G21" s="109"/>
      <c r="H21" s="109"/>
      <c r="I21" s="223"/>
      <c r="J21" s="223"/>
      <c r="K21" s="223"/>
      <c r="L21" s="223"/>
    </row>
    <row r="22" spans="1:13" s="136" customFormat="1" ht="15.6" x14ac:dyDescent="0.25">
      <c r="A22" s="106">
        <v>1310000000</v>
      </c>
      <c r="B22" s="137" t="s">
        <v>155</v>
      </c>
      <c r="C22" s="107" t="s">
        <v>67</v>
      </c>
      <c r="D22" s="108">
        <v>1252284</v>
      </c>
      <c r="E22" s="108">
        <v>4300000</v>
      </c>
      <c r="F22" s="109"/>
      <c r="G22" s="109"/>
      <c r="H22" s="109"/>
      <c r="I22" s="223"/>
      <c r="J22" s="223"/>
      <c r="K22" s="223"/>
      <c r="L22" s="223"/>
    </row>
    <row r="23" spans="1:13" s="56" customFormat="1" ht="33.75" customHeight="1" x14ac:dyDescent="0.25">
      <c r="A23" s="140">
        <v>1019800</v>
      </c>
      <c r="B23" s="69">
        <v>9800</v>
      </c>
      <c r="C23" s="104" t="s">
        <v>68</v>
      </c>
      <c r="D23" s="141">
        <f>D24</f>
        <v>696043</v>
      </c>
      <c r="E23" s="141">
        <f>E24</f>
        <v>0</v>
      </c>
      <c r="F23" s="141"/>
      <c r="G23" s="141"/>
      <c r="H23" s="141"/>
      <c r="I23" s="224"/>
      <c r="J23" s="224"/>
      <c r="K23" s="205"/>
      <c r="L23" s="205"/>
      <c r="M23" s="151"/>
    </row>
    <row r="24" spans="1:13" s="136" customFormat="1" ht="15.6" x14ac:dyDescent="0.25">
      <c r="A24" s="106">
        <v>9900000000</v>
      </c>
      <c r="B24" s="137" t="s">
        <v>157</v>
      </c>
      <c r="C24" s="107" t="s">
        <v>63</v>
      </c>
      <c r="D24" s="108">
        <v>696043</v>
      </c>
      <c r="E24" s="108">
        <v>0</v>
      </c>
      <c r="F24" s="109"/>
      <c r="G24" s="109"/>
      <c r="H24" s="109"/>
      <c r="I24" s="223"/>
      <c r="J24" s="223"/>
      <c r="K24" s="223"/>
      <c r="L24" s="224"/>
    </row>
    <row r="25" spans="1:13" s="136" customFormat="1" ht="36" customHeight="1" x14ac:dyDescent="0.25">
      <c r="A25" s="150" t="s">
        <v>297</v>
      </c>
      <c r="B25" s="135" t="s">
        <v>157</v>
      </c>
      <c r="C25" s="104" t="s">
        <v>68</v>
      </c>
      <c r="D25" s="105">
        <f>D26</f>
        <v>0</v>
      </c>
      <c r="E25" s="105">
        <f>E26</f>
        <v>700000</v>
      </c>
      <c r="F25" s="109"/>
      <c r="G25" s="109"/>
      <c r="H25" s="109"/>
      <c r="I25" s="223"/>
      <c r="J25" s="223"/>
      <c r="K25" s="223"/>
      <c r="L25" s="223"/>
    </row>
    <row r="26" spans="1:13" s="136" customFormat="1" ht="15.6" x14ac:dyDescent="0.25">
      <c r="A26" s="152">
        <v>9900000000</v>
      </c>
      <c r="B26" s="137" t="s">
        <v>157</v>
      </c>
      <c r="C26" s="107" t="s">
        <v>63</v>
      </c>
      <c r="D26" s="108">
        <v>0</v>
      </c>
      <c r="E26" s="108">
        <v>700000</v>
      </c>
      <c r="F26" s="109"/>
      <c r="G26" s="109"/>
      <c r="H26" s="109"/>
      <c r="I26" s="223"/>
      <c r="J26" s="223"/>
      <c r="K26" s="223"/>
      <c r="L26" s="223"/>
    </row>
    <row r="27" spans="1:13" s="136" customFormat="1" ht="33.75" customHeight="1" x14ac:dyDescent="0.25">
      <c r="A27" s="150" t="s">
        <v>298</v>
      </c>
      <c r="B27" s="135" t="s">
        <v>157</v>
      </c>
      <c r="C27" s="104" t="s">
        <v>68</v>
      </c>
      <c r="D27" s="105">
        <f>D28</f>
        <v>0</v>
      </c>
      <c r="E27" s="105">
        <f>E28</f>
        <v>1878847</v>
      </c>
      <c r="F27" s="109"/>
      <c r="G27" s="109"/>
      <c r="H27" s="109"/>
      <c r="I27" s="223"/>
      <c r="J27" s="223"/>
      <c r="K27" s="223"/>
      <c r="L27" s="223"/>
    </row>
    <row r="28" spans="1:13" s="136" customFormat="1" ht="15.6" x14ac:dyDescent="0.25">
      <c r="A28" s="152">
        <v>9900000000</v>
      </c>
      <c r="B28" s="137" t="s">
        <v>157</v>
      </c>
      <c r="C28" s="107" t="s">
        <v>63</v>
      </c>
      <c r="D28" s="108">
        <v>0</v>
      </c>
      <c r="E28" s="108">
        <v>1878847</v>
      </c>
      <c r="F28" s="109"/>
      <c r="G28" s="109"/>
      <c r="H28" s="109"/>
      <c r="I28" s="223"/>
      <c r="J28" s="223"/>
      <c r="K28" s="223"/>
      <c r="L28" s="223"/>
    </row>
    <row r="29" spans="1:13" s="136" customFormat="1" ht="34.5" customHeight="1" x14ac:dyDescent="0.25">
      <c r="A29" s="150" t="s">
        <v>299</v>
      </c>
      <c r="B29" s="135" t="s">
        <v>157</v>
      </c>
      <c r="C29" s="104" t="s">
        <v>68</v>
      </c>
      <c r="D29" s="138">
        <f>D30</f>
        <v>8000000</v>
      </c>
      <c r="E29" s="105">
        <f>E30</f>
        <v>3000000</v>
      </c>
      <c r="F29" s="109"/>
      <c r="G29" s="109"/>
      <c r="H29" s="109"/>
      <c r="I29" s="223"/>
      <c r="J29" s="223"/>
      <c r="K29" s="223"/>
      <c r="L29" s="223"/>
    </row>
    <row r="30" spans="1:13" s="136" customFormat="1" ht="15.6" x14ac:dyDescent="0.25">
      <c r="A30" s="152">
        <v>9900000000</v>
      </c>
      <c r="B30" s="137" t="s">
        <v>157</v>
      </c>
      <c r="C30" s="107" t="s">
        <v>63</v>
      </c>
      <c r="D30" s="108">
        <v>8000000</v>
      </c>
      <c r="E30" s="108">
        <v>3000000</v>
      </c>
      <c r="F30" s="109"/>
      <c r="G30" s="109"/>
      <c r="H30" s="109"/>
      <c r="I30" s="223"/>
      <c r="J30" s="223"/>
      <c r="K30" s="223"/>
      <c r="L30" s="223"/>
    </row>
    <row r="31" spans="1:13" s="136" customFormat="1" ht="34.5" customHeight="1" x14ac:dyDescent="0.25">
      <c r="A31" s="150" t="s">
        <v>300</v>
      </c>
      <c r="B31" s="135" t="s">
        <v>157</v>
      </c>
      <c r="C31" s="104" t="s">
        <v>68</v>
      </c>
      <c r="D31" s="105">
        <f>D32</f>
        <v>2300000</v>
      </c>
      <c r="E31" s="105">
        <f>E32</f>
        <v>8600000</v>
      </c>
      <c r="F31" s="109"/>
      <c r="G31" s="109"/>
      <c r="H31" s="109"/>
      <c r="I31" s="223"/>
      <c r="J31" s="223"/>
      <c r="K31" s="223"/>
      <c r="L31" s="223"/>
    </row>
    <row r="32" spans="1:13" s="136" customFormat="1" ht="15.6" x14ac:dyDescent="0.25">
      <c r="A32" s="152">
        <v>9900000000</v>
      </c>
      <c r="B32" s="137" t="s">
        <v>157</v>
      </c>
      <c r="C32" s="107" t="s">
        <v>63</v>
      </c>
      <c r="D32" s="108">
        <v>2300000</v>
      </c>
      <c r="E32" s="108">
        <v>8600000</v>
      </c>
      <c r="F32" s="109"/>
      <c r="G32" s="109"/>
      <c r="H32" s="109"/>
      <c r="I32" s="223"/>
      <c r="J32" s="223"/>
      <c r="K32" s="223"/>
      <c r="L32" s="223"/>
    </row>
    <row r="33" spans="1:12" s="136" customFormat="1" ht="34.5" customHeight="1" x14ac:dyDescent="0.25">
      <c r="A33" s="150" t="s">
        <v>301</v>
      </c>
      <c r="B33" s="135" t="s">
        <v>157</v>
      </c>
      <c r="C33" s="104" t="s">
        <v>68</v>
      </c>
      <c r="D33" s="105">
        <f>D34</f>
        <v>244246959</v>
      </c>
      <c r="E33" s="105">
        <f>E34</f>
        <v>578928516</v>
      </c>
      <c r="F33" s="109"/>
      <c r="G33" s="109"/>
      <c r="H33" s="109"/>
      <c r="I33" s="223"/>
      <c r="J33" s="223"/>
      <c r="K33" s="223"/>
      <c r="L33" s="223"/>
    </row>
    <row r="34" spans="1:12" s="136" customFormat="1" ht="15.6" x14ac:dyDescent="0.25">
      <c r="A34" s="152">
        <v>9900000000</v>
      </c>
      <c r="B34" s="137" t="s">
        <v>157</v>
      </c>
      <c r="C34" s="107" t="s">
        <v>63</v>
      </c>
      <c r="D34" s="108">
        <v>244246959</v>
      </c>
      <c r="E34" s="108">
        <v>578928516</v>
      </c>
      <c r="F34" s="109"/>
      <c r="G34" s="109"/>
      <c r="H34" s="109"/>
      <c r="I34" s="223"/>
      <c r="J34" s="223"/>
      <c r="K34" s="223"/>
      <c r="L34" s="223"/>
    </row>
    <row r="35" spans="1:12" s="136" customFormat="1" ht="32.25" customHeight="1" x14ac:dyDescent="0.25">
      <c r="A35" s="150" t="s">
        <v>302</v>
      </c>
      <c r="B35" s="135" t="s">
        <v>157</v>
      </c>
      <c r="C35" s="104" t="s">
        <v>68</v>
      </c>
      <c r="D35" s="105">
        <f>D36</f>
        <v>0</v>
      </c>
      <c r="E35" s="105">
        <f>E36</f>
        <v>1150000</v>
      </c>
      <c r="F35" s="109"/>
      <c r="G35" s="109"/>
      <c r="H35" s="109"/>
      <c r="I35" s="223"/>
      <c r="J35" s="223"/>
      <c r="K35" s="223"/>
      <c r="L35" s="223"/>
    </row>
    <row r="36" spans="1:12" s="136" customFormat="1" ht="15.6" x14ac:dyDescent="0.25">
      <c r="A36" s="152">
        <v>9900000000</v>
      </c>
      <c r="B36" s="137" t="s">
        <v>157</v>
      </c>
      <c r="C36" s="107" t="s">
        <v>63</v>
      </c>
      <c r="D36" s="108">
        <v>0</v>
      </c>
      <c r="E36" s="108">
        <v>1150000</v>
      </c>
      <c r="F36" s="109"/>
      <c r="G36" s="109"/>
      <c r="H36" s="109"/>
      <c r="I36" s="223"/>
      <c r="J36" s="223"/>
      <c r="K36" s="223"/>
      <c r="L36" s="223"/>
    </row>
    <row r="37" spans="1:12" s="136" customFormat="1" ht="33" customHeight="1" x14ac:dyDescent="0.25">
      <c r="A37" s="150" t="s">
        <v>303</v>
      </c>
      <c r="B37" s="135" t="s">
        <v>157</v>
      </c>
      <c r="C37" s="104" t="s">
        <v>68</v>
      </c>
      <c r="D37" s="105">
        <f>D38</f>
        <v>0</v>
      </c>
      <c r="E37" s="105">
        <f>E38</f>
        <v>5000000</v>
      </c>
      <c r="F37" s="109"/>
      <c r="G37" s="109"/>
      <c r="H37" s="109"/>
      <c r="I37" s="223"/>
      <c r="J37" s="223"/>
      <c r="K37" s="223"/>
      <c r="L37" s="223"/>
    </row>
    <row r="38" spans="1:12" s="136" customFormat="1" ht="15.6" x14ac:dyDescent="0.25">
      <c r="A38" s="152">
        <v>9900000000</v>
      </c>
      <c r="B38" s="137" t="s">
        <v>157</v>
      </c>
      <c r="C38" s="107" t="s">
        <v>63</v>
      </c>
      <c r="D38" s="108">
        <v>0</v>
      </c>
      <c r="E38" s="108">
        <v>5000000</v>
      </c>
      <c r="F38" s="109"/>
      <c r="G38" s="109"/>
      <c r="H38" s="109"/>
      <c r="I38" s="223"/>
      <c r="J38" s="223"/>
      <c r="K38" s="223"/>
      <c r="L38" s="223"/>
    </row>
    <row r="39" spans="1:12" s="136" customFormat="1" ht="37.5" customHeight="1" x14ac:dyDescent="0.25">
      <c r="A39" s="150" t="s">
        <v>304</v>
      </c>
      <c r="B39" s="135" t="s">
        <v>157</v>
      </c>
      <c r="C39" s="104" t="s">
        <v>68</v>
      </c>
      <c r="D39" s="105">
        <f>D40</f>
        <v>0</v>
      </c>
      <c r="E39" s="105">
        <f>E40</f>
        <v>800000</v>
      </c>
      <c r="F39" s="109"/>
      <c r="G39" s="109"/>
      <c r="H39" s="109"/>
      <c r="I39" s="223"/>
      <c r="J39" s="223"/>
      <c r="K39" s="223"/>
      <c r="L39" s="223"/>
    </row>
    <row r="40" spans="1:12" s="136" customFormat="1" ht="15.6" x14ac:dyDescent="0.25">
      <c r="A40" s="152">
        <v>9900000000</v>
      </c>
      <c r="B40" s="137" t="s">
        <v>157</v>
      </c>
      <c r="C40" s="107" t="s">
        <v>63</v>
      </c>
      <c r="D40" s="108">
        <v>0</v>
      </c>
      <c r="E40" s="108">
        <v>800000</v>
      </c>
      <c r="F40" s="109"/>
      <c r="G40" s="109"/>
      <c r="H40" s="109"/>
      <c r="I40" s="223"/>
      <c r="J40" s="223"/>
      <c r="K40" s="223"/>
      <c r="L40" s="223"/>
    </row>
    <row r="41" spans="1:12" s="136" customFormat="1" ht="33.75" customHeight="1" x14ac:dyDescent="0.25">
      <c r="A41" s="150" t="s">
        <v>159</v>
      </c>
      <c r="B41" s="135" t="s">
        <v>157</v>
      </c>
      <c r="C41" s="104" t="s">
        <v>68</v>
      </c>
      <c r="D41" s="138">
        <f>D42</f>
        <v>1063458</v>
      </c>
      <c r="E41" s="105">
        <f>E42</f>
        <v>2650000</v>
      </c>
      <c r="F41" s="109"/>
      <c r="G41" s="109"/>
      <c r="H41" s="109"/>
      <c r="I41" s="223"/>
      <c r="J41" s="223"/>
      <c r="K41" s="223"/>
      <c r="L41" s="223"/>
    </row>
    <row r="42" spans="1:12" s="136" customFormat="1" ht="19.5" customHeight="1" x14ac:dyDescent="0.25">
      <c r="A42" s="106">
        <v>9900000000</v>
      </c>
      <c r="B42" s="137" t="s">
        <v>157</v>
      </c>
      <c r="C42" s="107" t="s">
        <v>63</v>
      </c>
      <c r="D42" s="139">
        <v>1063458</v>
      </c>
      <c r="E42" s="108">
        <v>2650000</v>
      </c>
      <c r="F42" s="109"/>
      <c r="G42" s="109"/>
      <c r="H42" s="109"/>
      <c r="I42" s="223"/>
      <c r="J42" s="223"/>
      <c r="K42" s="223"/>
      <c r="L42" s="223"/>
    </row>
    <row r="43" spans="1:12" s="136" customFormat="1" ht="23.25" customHeight="1" x14ac:dyDescent="0.25">
      <c r="A43" s="293" t="s">
        <v>58</v>
      </c>
      <c r="B43" s="293"/>
      <c r="C43" s="293"/>
      <c r="D43" s="293"/>
      <c r="E43" s="293"/>
      <c r="F43" s="293"/>
      <c r="G43" s="293"/>
      <c r="H43" s="293"/>
      <c r="I43" s="223"/>
      <c r="J43" s="223"/>
      <c r="K43" s="204"/>
      <c r="L43" s="223"/>
    </row>
    <row r="44" spans="1:12" s="136" customFormat="1" ht="18.75" customHeight="1" x14ac:dyDescent="0.25">
      <c r="A44" s="135" t="s">
        <v>154</v>
      </c>
      <c r="B44" s="135" t="s">
        <v>155</v>
      </c>
      <c r="C44" s="104" t="s">
        <v>66</v>
      </c>
      <c r="D44" s="105">
        <f>D45</f>
        <v>11732027</v>
      </c>
      <c r="E44" s="105">
        <f>E45</f>
        <v>0</v>
      </c>
      <c r="F44" s="109"/>
      <c r="G44" s="109"/>
      <c r="H44" s="109"/>
      <c r="I44" s="223"/>
      <c r="J44" s="223"/>
      <c r="K44" s="223"/>
      <c r="L44" s="223"/>
    </row>
    <row r="45" spans="1:12" s="136" customFormat="1" ht="18.75" customHeight="1" x14ac:dyDescent="0.25">
      <c r="A45" s="106">
        <v>1310000000</v>
      </c>
      <c r="B45" s="137" t="s">
        <v>155</v>
      </c>
      <c r="C45" s="107" t="s">
        <v>67</v>
      </c>
      <c r="D45" s="108">
        <v>11732027</v>
      </c>
      <c r="E45" s="108">
        <v>0</v>
      </c>
      <c r="F45" s="109"/>
      <c r="G45" s="109"/>
      <c r="H45" s="109"/>
      <c r="I45" s="223"/>
      <c r="J45" s="223"/>
      <c r="K45" s="223"/>
      <c r="L45" s="223"/>
    </row>
    <row r="46" spans="1:12" s="142" customFormat="1" ht="18.75" customHeight="1" x14ac:dyDescent="0.25">
      <c r="A46" s="135" t="s">
        <v>160</v>
      </c>
      <c r="B46" s="135" t="s">
        <v>155</v>
      </c>
      <c r="C46" s="104" t="s">
        <v>66</v>
      </c>
      <c r="D46" s="138">
        <f>D47+D48</f>
        <v>14327763</v>
      </c>
      <c r="E46" s="105">
        <f>E47+E48</f>
        <v>0</v>
      </c>
      <c r="F46" s="112"/>
      <c r="G46" s="112"/>
      <c r="H46" s="112"/>
      <c r="I46" s="225"/>
      <c r="J46" s="225"/>
      <c r="K46" s="225"/>
      <c r="L46" s="225"/>
    </row>
    <row r="47" spans="1:12" s="142" customFormat="1" ht="18.75" customHeight="1" x14ac:dyDescent="0.25">
      <c r="A47" s="155">
        <v>1354600000</v>
      </c>
      <c r="B47" s="154" t="s">
        <v>155</v>
      </c>
      <c r="C47" s="30" t="s">
        <v>161</v>
      </c>
      <c r="D47" s="146">
        <v>1091226</v>
      </c>
      <c r="E47" s="108">
        <v>0</v>
      </c>
      <c r="F47" s="112"/>
      <c r="G47" s="112"/>
      <c r="H47" s="112"/>
      <c r="I47" s="225"/>
      <c r="J47" s="225"/>
      <c r="K47" s="225"/>
      <c r="L47" s="225"/>
    </row>
    <row r="48" spans="1:12" s="142" customFormat="1" ht="18.75" customHeight="1" x14ac:dyDescent="0.25">
      <c r="A48" s="155">
        <v>1358100000</v>
      </c>
      <c r="B48" s="154">
        <v>9770</v>
      </c>
      <c r="C48" s="30" t="s">
        <v>162</v>
      </c>
      <c r="D48" s="146">
        <v>13236537</v>
      </c>
      <c r="E48" s="108">
        <v>0</v>
      </c>
      <c r="F48" s="112"/>
      <c r="G48" s="112"/>
      <c r="H48" s="112"/>
      <c r="I48" s="225"/>
      <c r="J48" s="225"/>
      <c r="K48" s="225"/>
      <c r="L48" s="225"/>
    </row>
    <row r="49" spans="1:12" s="142" customFormat="1" ht="18.75" customHeight="1" x14ac:dyDescent="0.3">
      <c r="A49" s="147" t="s">
        <v>156</v>
      </c>
      <c r="B49" s="147" t="s">
        <v>155</v>
      </c>
      <c r="C49" s="148" t="s">
        <v>66</v>
      </c>
      <c r="D49" s="149">
        <f>D50</f>
        <v>1481900</v>
      </c>
      <c r="E49" s="108">
        <f>E50</f>
        <v>0</v>
      </c>
      <c r="F49" s="112"/>
      <c r="G49" s="112"/>
      <c r="H49" s="112"/>
      <c r="I49" s="225"/>
      <c r="J49" s="225"/>
      <c r="K49" s="225"/>
      <c r="L49" s="225"/>
    </row>
    <row r="50" spans="1:12" s="142" customFormat="1" ht="18.75" customHeight="1" x14ac:dyDescent="0.25">
      <c r="A50" s="143">
        <v>1310000000</v>
      </c>
      <c r="B50" s="144" t="s">
        <v>155</v>
      </c>
      <c r="C50" s="145" t="s">
        <v>67</v>
      </c>
      <c r="D50" s="146">
        <v>1481900</v>
      </c>
      <c r="E50" s="108">
        <v>0</v>
      </c>
      <c r="F50" s="112"/>
      <c r="G50" s="112"/>
      <c r="H50" s="112"/>
      <c r="I50" s="225"/>
      <c r="J50" s="225"/>
      <c r="K50" s="225"/>
      <c r="L50" s="225"/>
    </row>
    <row r="51" spans="1:12" s="136" customFormat="1" ht="21.75" customHeight="1" x14ac:dyDescent="0.25">
      <c r="A51" s="150" t="s">
        <v>297</v>
      </c>
      <c r="B51" s="135">
        <v>9800</v>
      </c>
      <c r="C51" s="107" t="s">
        <v>63</v>
      </c>
      <c r="D51" s="105">
        <f>D52</f>
        <v>1600000</v>
      </c>
      <c r="E51" s="105">
        <f>E52</f>
        <v>0</v>
      </c>
      <c r="F51" s="109"/>
      <c r="G51" s="109"/>
      <c r="H51" s="109"/>
      <c r="I51" s="223"/>
      <c r="J51" s="223"/>
      <c r="K51" s="204"/>
      <c r="L51" s="223"/>
    </row>
    <row r="52" spans="1:12" s="136" customFormat="1" ht="34.5" customHeight="1" x14ac:dyDescent="0.25">
      <c r="A52" s="106">
        <v>9900000000</v>
      </c>
      <c r="B52" s="137">
        <v>9800</v>
      </c>
      <c r="C52" s="104" t="s">
        <v>68</v>
      </c>
      <c r="D52" s="108">
        <v>1600000</v>
      </c>
      <c r="E52" s="108">
        <v>0</v>
      </c>
      <c r="F52" s="109"/>
      <c r="G52" s="109"/>
      <c r="H52" s="109"/>
      <c r="I52" s="223"/>
      <c r="J52" s="223"/>
      <c r="K52" s="223"/>
      <c r="L52" s="223"/>
    </row>
    <row r="53" spans="1:12" s="136" customFormat="1" ht="33.75" customHeight="1" x14ac:dyDescent="0.25">
      <c r="A53" s="140">
        <v>1019800</v>
      </c>
      <c r="B53" s="69">
        <v>9800</v>
      </c>
      <c r="C53" s="104" t="s">
        <v>68</v>
      </c>
      <c r="D53" s="141">
        <f>D54</f>
        <v>4574000</v>
      </c>
      <c r="E53" s="141">
        <f>E54</f>
        <v>0</v>
      </c>
      <c r="F53" s="109"/>
      <c r="G53" s="109"/>
      <c r="H53" s="109"/>
      <c r="I53" s="223"/>
      <c r="J53" s="223"/>
      <c r="K53" s="223"/>
      <c r="L53" s="223"/>
    </row>
    <row r="54" spans="1:12" s="136" customFormat="1" ht="15.6" x14ac:dyDescent="0.25">
      <c r="A54" s="106">
        <v>9900000000</v>
      </c>
      <c r="B54" s="137" t="s">
        <v>157</v>
      </c>
      <c r="C54" s="107" t="s">
        <v>63</v>
      </c>
      <c r="D54" s="108">
        <v>4574000</v>
      </c>
      <c r="E54" s="153">
        <v>0</v>
      </c>
      <c r="F54" s="109"/>
      <c r="G54" s="109"/>
      <c r="H54" s="109"/>
      <c r="I54" s="223"/>
      <c r="J54" s="223"/>
      <c r="K54" s="223"/>
      <c r="L54" s="223"/>
    </row>
    <row r="55" spans="1:12" s="142" customFormat="1" ht="36.75" customHeight="1" x14ac:dyDescent="0.25">
      <c r="A55" s="135">
        <v>1219800</v>
      </c>
      <c r="B55" s="135" t="s">
        <v>157</v>
      </c>
      <c r="C55" s="104" t="s">
        <v>68</v>
      </c>
      <c r="D55" s="105">
        <f>D56</f>
        <v>1500000</v>
      </c>
      <c r="E55" s="105">
        <f>E56</f>
        <v>0</v>
      </c>
      <c r="F55" s="109"/>
      <c r="G55" s="109"/>
      <c r="H55" s="109"/>
      <c r="I55" s="225"/>
      <c r="J55" s="225"/>
      <c r="K55" s="225"/>
      <c r="L55" s="225"/>
    </row>
    <row r="56" spans="1:12" s="142" customFormat="1" ht="15" x14ac:dyDescent="0.25">
      <c r="A56" s="106">
        <v>9900000000</v>
      </c>
      <c r="B56" s="137" t="s">
        <v>157</v>
      </c>
      <c r="C56" s="107" t="s">
        <v>63</v>
      </c>
      <c r="D56" s="108">
        <v>1500000</v>
      </c>
      <c r="E56" s="108">
        <v>0</v>
      </c>
      <c r="F56" s="112"/>
      <c r="G56" s="112"/>
      <c r="H56" s="112"/>
      <c r="I56" s="225"/>
      <c r="J56" s="225"/>
      <c r="K56" s="225"/>
      <c r="L56" s="225"/>
    </row>
    <row r="57" spans="1:12" s="142" customFormat="1" ht="33.75" customHeight="1" x14ac:dyDescent="0.25">
      <c r="A57" s="135" t="s">
        <v>163</v>
      </c>
      <c r="B57" s="135" t="s">
        <v>157</v>
      </c>
      <c r="C57" s="104" t="s">
        <v>68</v>
      </c>
      <c r="D57" s="105">
        <f>D58</f>
        <v>2999769</v>
      </c>
      <c r="E57" s="105">
        <f>E58</f>
        <v>0</v>
      </c>
      <c r="F57" s="112"/>
      <c r="G57" s="112"/>
      <c r="H57" s="112"/>
      <c r="I57" s="225"/>
      <c r="J57" s="225"/>
      <c r="K57" s="225"/>
      <c r="L57" s="225"/>
    </row>
    <row r="58" spans="1:12" s="142" customFormat="1" ht="15" x14ac:dyDescent="0.25">
      <c r="A58" s="106">
        <v>9900000000</v>
      </c>
      <c r="B58" s="137" t="s">
        <v>157</v>
      </c>
      <c r="C58" s="107" t="s">
        <v>63</v>
      </c>
      <c r="D58" s="108">
        <v>2999769</v>
      </c>
      <c r="E58" s="108">
        <v>0</v>
      </c>
      <c r="F58" s="112"/>
      <c r="G58" s="112"/>
      <c r="H58" s="112"/>
      <c r="I58" s="225"/>
      <c r="J58" s="225"/>
      <c r="K58" s="225"/>
      <c r="L58" s="225"/>
    </row>
    <row r="59" spans="1:12" s="142" customFormat="1" ht="33" customHeight="1" x14ac:dyDescent="0.25">
      <c r="A59" s="135" t="s">
        <v>158</v>
      </c>
      <c r="B59" s="135" t="s">
        <v>157</v>
      </c>
      <c r="C59" s="104" t="s">
        <v>68</v>
      </c>
      <c r="D59" s="105">
        <f>D60</f>
        <v>381162261</v>
      </c>
      <c r="E59" s="105">
        <f>E60</f>
        <v>0</v>
      </c>
      <c r="F59" s="112"/>
      <c r="G59" s="112"/>
      <c r="H59" s="112"/>
      <c r="I59" s="225"/>
      <c r="J59" s="225"/>
      <c r="K59" s="225"/>
      <c r="L59" s="225"/>
    </row>
    <row r="60" spans="1:12" s="142" customFormat="1" ht="15" x14ac:dyDescent="0.25">
      <c r="A60" s="106">
        <v>9900000000</v>
      </c>
      <c r="B60" s="137" t="s">
        <v>157</v>
      </c>
      <c r="C60" s="107" t="s">
        <v>63</v>
      </c>
      <c r="D60" s="108">
        <v>381162261</v>
      </c>
      <c r="E60" s="108">
        <v>0</v>
      </c>
      <c r="F60" s="112"/>
      <c r="G60" s="112"/>
      <c r="H60" s="112"/>
      <c r="I60" s="225"/>
      <c r="J60" s="225"/>
      <c r="K60" s="225"/>
      <c r="L60" s="225"/>
    </row>
    <row r="61" spans="1:12" s="136" customFormat="1" ht="19.5" customHeight="1" x14ac:dyDescent="0.25">
      <c r="A61" s="211" t="s">
        <v>9</v>
      </c>
      <c r="B61" s="211" t="s">
        <v>9</v>
      </c>
      <c r="C61" s="156" t="s">
        <v>55</v>
      </c>
      <c r="D61" s="158">
        <f>D62+D63</f>
        <v>2582760064</v>
      </c>
      <c r="E61" s="157">
        <f>E62+E63</f>
        <v>2982208163</v>
      </c>
      <c r="F61" s="158">
        <f t="shared" ref="F61:H61" si="2">F62+F63</f>
        <v>2706417200</v>
      </c>
      <c r="G61" s="158">
        <f t="shared" si="2"/>
        <v>3234930900</v>
      </c>
      <c r="H61" s="158">
        <f t="shared" si="2"/>
        <v>3731183700</v>
      </c>
      <c r="I61" s="223"/>
      <c r="J61" s="223"/>
      <c r="K61" s="223"/>
      <c r="L61" s="223"/>
    </row>
    <row r="62" spans="1:12" s="142" customFormat="1" ht="18.75" customHeight="1" x14ac:dyDescent="0.25">
      <c r="A62" s="211" t="s">
        <v>9</v>
      </c>
      <c r="B62" s="211" t="s">
        <v>9</v>
      </c>
      <c r="C62" s="156" t="s">
        <v>15</v>
      </c>
      <c r="D62" s="158">
        <f>D12+D14+D23+D16+D18+D21+D25+D27+D29+D31+D33+D35+D37+D39+D41</f>
        <v>2163382344</v>
      </c>
      <c r="E62" s="157">
        <f>E12+E14+E23+E16+E18+E21+E25+E27+E29+E31+E33+E35+E37+E39+E41</f>
        <v>2982208163</v>
      </c>
      <c r="F62" s="158">
        <f>F12+F14+F23+F16+F18+F21+F25+F27+F29+F31+F33+F35+F37+F39+F41</f>
        <v>2706417200</v>
      </c>
      <c r="G62" s="158">
        <f>G12+G14+G23+G16+G18+G21+G25+G27+G29+G31+G33+G35+G37+G39+G41</f>
        <v>3234930900</v>
      </c>
      <c r="H62" s="158">
        <f>H12+H14+H23+H16+H18+H21+H25+H27+H29+H31+H33+H35+H37+H39+H41</f>
        <v>3731183700</v>
      </c>
      <c r="I62" s="225"/>
      <c r="J62" s="225"/>
      <c r="K62" s="225"/>
      <c r="L62" s="225"/>
    </row>
    <row r="63" spans="1:12" s="142" customFormat="1" ht="20.25" customHeight="1" x14ac:dyDescent="0.25">
      <c r="A63" s="211" t="s">
        <v>9</v>
      </c>
      <c r="B63" s="211" t="s">
        <v>9</v>
      </c>
      <c r="C63" s="156" t="s">
        <v>16</v>
      </c>
      <c r="D63" s="158">
        <f>D44+D46+D49+D51+D53+D55+D57+D59</f>
        <v>419377720</v>
      </c>
      <c r="E63" s="158">
        <f>E44+E46+E49+E51+E53+E55+E57+E59</f>
        <v>0</v>
      </c>
      <c r="F63" s="158">
        <f>F44+F46+F49+F51+F53+F55+F57+F59</f>
        <v>0</v>
      </c>
      <c r="G63" s="158">
        <f>G44+G46+G49+G51+G53+G55+G57+G59</f>
        <v>0</v>
      </c>
      <c r="H63" s="158">
        <f>H44+H46+H49+H51+H53+H55+H57+H59</f>
        <v>0</v>
      </c>
      <c r="I63" s="225"/>
      <c r="J63" s="225"/>
      <c r="K63" s="225"/>
      <c r="L63" s="225"/>
    </row>
    <row r="64" spans="1:12" s="101" customFormat="1" x14ac:dyDescent="0.25">
      <c r="D64" s="212"/>
      <c r="I64" s="226"/>
      <c r="J64" s="226"/>
      <c r="K64" s="226"/>
      <c r="L64" s="226"/>
    </row>
    <row r="65" spans="1:8" ht="49.8" customHeight="1" x14ac:dyDescent="0.25">
      <c r="D65" s="213"/>
    </row>
    <row r="66" spans="1:8" ht="17.399999999999999" x14ac:dyDescent="0.25">
      <c r="A66" s="33" t="s">
        <v>167</v>
      </c>
      <c r="B66" s="34"/>
      <c r="C66" s="35"/>
      <c r="D66" s="214"/>
      <c r="E66" s="36" t="s">
        <v>168</v>
      </c>
    </row>
    <row r="67" spans="1:8" ht="24" customHeight="1" x14ac:dyDescent="0.3">
      <c r="A67" s="36"/>
      <c r="B67" s="34"/>
      <c r="C67" s="34"/>
      <c r="D67" s="215"/>
      <c r="E67" s="37"/>
    </row>
    <row r="68" spans="1:8" ht="17.399999999999999" x14ac:dyDescent="0.3">
      <c r="A68" s="38" t="s">
        <v>169</v>
      </c>
      <c r="B68" s="38"/>
      <c r="C68" s="38"/>
      <c r="D68" s="39"/>
      <c r="E68" s="39"/>
    </row>
    <row r="69" spans="1:8" ht="17.399999999999999" x14ac:dyDescent="0.3">
      <c r="A69" s="38" t="s">
        <v>170</v>
      </c>
      <c r="B69" s="38"/>
      <c r="C69" s="38"/>
      <c r="D69" s="39"/>
      <c r="E69" s="39" t="s">
        <v>171</v>
      </c>
    </row>
    <row r="70" spans="1:8" ht="22.8" customHeight="1" x14ac:dyDescent="0.3">
      <c r="A70" s="38"/>
      <c r="B70" s="38"/>
      <c r="C70" s="38"/>
      <c r="D70" s="39"/>
      <c r="E70" s="39"/>
    </row>
    <row r="71" spans="1:8" ht="20.399999999999999" customHeight="1" x14ac:dyDescent="0.3">
      <c r="A71" s="40" t="s">
        <v>172</v>
      </c>
      <c r="B71" s="40"/>
      <c r="C71" s="40"/>
      <c r="D71" s="38"/>
      <c r="E71" s="38"/>
    </row>
    <row r="72" spans="1:8" ht="20.399999999999999" customHeight="1" x14ac:dyDescent="0.3">
      <c r="A72" s="36" t="s">
        <v>173</v>
      </c>
      <c r="B72" s="36"/>
      <c r="C72" s="36"/>
      <c r="D72" s="39"/>
      <c r="E72" s="39" t="s">
        <v>174</v>
      </c>
    </row>
    <row r="75" spans="1:8" x14ac:dyDescent="0.25">
      <c r="D75" s="15"/>
      <c r="E75" s="15"/>
      <c r="F75" s="15"/>
      <c r="G75" s="15"/>
      <c r="H75" s="15"/>
    </row>
    <row r="79" spans="1:8" x14ac:dyDescent="0.25">
      <c r="D79" s="19"/>
      <c r="E79" s="19"/>
      <c r="F79" s="19"/>
      <c r="G79" s="19"/>
      <c r="H79" s="19"/>
    </row>
    <row r="80" spans="1:8" x14ac:dyDescent="0.25">
      <c r="D80" s="20"/>
      <c r="E80" s="20"/>
      <c r="F80" s="20"/>
      <c r="G80" s="20"/>
      <c r="H80" s="20"/>
    </row>
    <row r="81" spans="4:8" x14ac:dyDescent="0.25">
      <c r="D81" s="20"/>
      <c r="E81" s="20"/>
      <c r="F81" s="20"/>
      <c r="G81" s="20"/>
      <c r="H81" s="20"/>
    </row>
    <row r="84" spans="4:8" x14ac:dyDescent="0.25">
      <c r="D84" s="16"/>
      <c r="E84" s="16"/>
      <c r="F84" s="16"/>
      <c r="G84" s="16"/>
      <c r="H84" s="16"/>
    </row>
    <row r="85" spans="4:8" x14ac:dyDescent="0.25">
      <c r="D85" s="16"/>
      <c r="E85" s="16"/>
      <c r="F85" s="16"/>
      <c r="G85" s="16"/>
      <c r="H85" s="16"/>
    </row>
    <row r="86" spans="4:8" x14ac:dyDescent="0.25">
      <c r="D86" s="16"/>
      <c r="E86" s="16"/>
      <c r="F86" s="16"/>
      <c r="G86" s="16"/>
      <c r="H86" s="16"/>
    </row>
  </sheetData>
  <mergeCells count="15">
    <mergeCell ref="G1:H1"/>
    <mergeCell ref="G2:H2"/>
    <mergeCell ref="A43:H43"/>
    <mergeCell ref="A4:H4"/>
    <mergeCell ref="A8:A9"/>
    <mergeCell ref="B8:B9"/>
    <mergeCell ref="C8:C9"/>
    <mergeCell ref="A11:H11"/>
    <mergeCell ref="A5:B5"/>
    <mergeCell ref="A6:B6"/>
    <mergeCell ref="D8:D9"/>
    <mergeCell ref="E8:E9"/>
    <mergeCell ref="F8:F9"/>
    <mergeCell ref="G8:G9"/>
    <mergeCell ref="H8:H9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00"/>
  <sheetViews>
    <sheetView zoomScale="80" zoomScaleNormal="80" workbookViewId="0"/>
  </sheetViews>
  <sheetFormatPr defaultRowHeight="15" x14ac:dyDescent="0.25"/>
  <cols>
    <col min="1" max="1" width="17.109375" style="79" customWidth="1"/>
    <col min="2" max="2" width="66.44140625" style="79" customWidth="1"/>
    <col min="3" max="6" width="20.44140625" style="79" customWidth="1"/>
    <col min="7" max="7" width="21.44140625" style="79" customWidth="1"/>
    <col min="8" max="9" width="9.109375" style="81" customWidth="1"/>
    <col min="10" max="10" width="12.44140625" style="81" customWidth="1"/>
    <col min="11" max="11" width="13.44140625" style="81" customWidth="1"/>
    <col min="12" max="256" width="9.109375" style="81" customWidth="1"/>
    <col min="257" max="257" width="8.88671875" style="81" customWidth="1"/>
    <col min="258" max="258" width="44.44140625" style="81" customWidth="1"/>
    <col min="259" max="259" width="13.88671875" style="81" customWidth="1"/>
    <col min="260" max="260" width="13" style="81" customWidth="1"/>
    <col min="261" max="261" width="12.33203125" style="81" customWidth="1"/>
    <col min="262" max="263" width="12.44140625" style="81" customWidth="1"/>
    <col min="264" max="512" width="9.109375" style="81" customWidth="1"/>
    <col min="513" max="513" width="8.88671875" style="81" customWidth="1"/>
    <col min="514" max="514" width="44.44140625" style="81" customWidth="1"/>
    <col min="515" max="515" width="13.88671875" style="81" customWidth="1"/>
    <col min="516" max="516" width="13" style="81" customWidth="1"/>
    <col min="517" max="517" width="12.33203125" style="81" customWidth="1"/>
    <col min="518" max="519" width="12.44140625" style="81" customWidth="1"/>
    <col min="520" max="768" width="9.109375" style="81" customWidth="1"/>
    <col min="769" max="769" width="8.88671875" style="81" customWidth="1"/>
    <col min="770" max="770" width="44.44140625" style="81" customWidth="1"/>
    <col min="771" max="771" width="13.88671875" style="81" customWidth="1"/>
    <col min="772" max="772" width="13" style="81" customWidth="1"/>
    <col min="773" max="773" width="12.33203125" style="81" customWidth="1"/>
    <col min="774" max="775" width="12.44140625" style="81" customWidth="1"/>
    <col min="776" max="1024" width="9.109375" style="81" customWidth="1"/>
    <col min="1025" max="1025" width="8.88671875" style="81" customWidth="1"/>
    <col min="1026" max="1026" width="44.44140625" style="81" customWidth="1"/>
    <col min="1027" max="1027" width="13.88671875" style="81" customWidth="1"/>
    <col min="1028" max="1028" width="13" style="81" customWidth="1"/>
    <col min="1029" max="1029" width="12.33203125" style="81" customWidth="1"/>
    <col min="1030" max="1031" width="12.44140625" style="81" customWidth="1"/>
    <col min="1032" max="1280" width="9.109375" style="81" customWidth="1"/>
    <col min="1281" max="1281" width="8.88671875" style="81" customWidth="1"/>
    <col min="1282" max="1282" width="44.44140625" style="81" customWidth="1"/>
    <col min="1283" max="1283" width="13.88671875" style="81" customWidth="1"/>
    <col min="1284" max="1284" width="13" style="81" customWidth="1"/>
    <col min="1285" max="1285" width="12.33203125" style="81" customWidth="1"/>
    <col min="1286" max="1287" width="12.44140625" style="81" customWidth="1"/>
    <col min="1288" max="1536" width="9.109375" style="81" customWidth="1"/>
    <col min="1537" max="1537" width="8.88671875" style="81" customWidth="1"/>
    <col min="1538" max="1538" width="44.44140625" style="81" customWidth="1"/>
    <col min="1539" max="1539" width="13.88671875" style="81" customWidth="1"/>
    <col min="1540" max="1540" width="13" style="81" customWidth="1"/>
    <col min="1541" max="1541" width="12.33203125" style="81" customWidth="1"/>
    <col min="1542" max="1543" width="12.44140625" style="81" customWidth="1"/>
    <col min="1544" max="1792" width="9.109375" style="81" customWidth="1"/>
    <col min="1793" max="1793" width="8.88671875" style="81" customWidth="1"/>
    <col min="1794" max="1794" width="44.44140625" style="81" customWidth="1"/>
    <col min="1795" max="1795" width="13.88671875" style="81" customWidth="1"/>
    <col min="1796" max="1796" width="13" style="81" customWidth="1"/>
    <col min="1797" max="1797" width="12.33203125" style="81" customWidth="1"/>
    <col min="1798" max="1799" width="12.44140625" style="81" customWidth="1"/>
    <col min="1800" max="2048" width="9.109375" style="81" customWidth="1"/>
    <col min="2049" max="2049" width="8.88671875" style="81" customWidth="1"/>
    <col min="2050" max="2050" width="44.44140625" style="81" customWidth="1"/>
    <col min="2051" max="2051" width="13.88671875" style="81" customWidth="1"/>
    <col min="2052" max="2052" width="13" style="81" customWidth="1"/>
    <col min="2053" max="2053" width="12.33203125" style="81" customWidth="1"/>
    <col min="2054" max="2055" width="12.44140625" style="81" customWidth="1"/>
    <col min="2056" max="2304" width="9.109375" style="81" customWidth="1"/>
    <col min="2305" max="2305" width="8.88671875" style="81" customWidth="1"/>
    <col min="2306" max="2306" width="44.44140625" style="81" customWidth="1"/>
    <col min="2307" max="2307" width="13.88671875" style="81" customWidth="1"/>
    <col min="2308" max="2308" width="13" style="81" customWidth="1"/>
    <col min="2309" max="2309" width="12.33203125" style="81" customWidth="1"/>
    <col min="2310" max="2311" width="12.44140625" style="81" customWidth="1"/>
    <col min="2312" max="2560" width="9.109375" style="81" customWidth="1"/>
    <col min="2561" max="2561" width="8.88671875" style="81" customWidth="1"/>
    <col min="2562" max="2562" width="44.44140625" style="81" customWidth="1"/>
    <col min="2563" max="2563" width="13.88671875" style="81" customWidth="1"/>
    <col min="2564" max="2564" width="13" style="81" customWidth="1"/>
    <col min="2565" max="2565" width="12.33203125" style="81" customWidth="1"/>
    <col min="2566" max="2567" width="12.44140625" style="81" customWidth="1"/>
    <col min="2568" max="2816" width="9.109375" style="81" customWidth="1"/>
    <col min="2817" max="2817" width="8.88671875" style="81" customWidth="1"/>
    <col min="2818" max="2818" width="44.44140625" style="81" customWidth="1"/>
    <col min="2819" max="2819" width="13.88671875" style="81" customWidth="1"/>
    <col min="2820" max="2820" width="13" style="81" customWidth="1"/>
    <col min="2821" max="2821" width="12.33203125" style="81" customWidth="1"/>
    <col min="2822" max="2823" width="12.44140625" style="81" customWidth="1"/>
    <col min="2824" max="3072" width="9.109375" style="81" customWidth="1"/>
    <col min="3073" max="3073" width="8.88671875" style="81" customWidth="1"/>
    <col min="3074" max="3074" width="44.44140625" style="81" customWidth="1"/>
    <col min="3075" max="3075" width="13.88671875" style="81" customWidth="1"/>
    <col min="3076" max="3076" width="13" style="81" customWidth="1"/>
    <col min="3077" max="3077" width="12.33203125" style="81" customWidth="1"/>
    <col min="3078" max="3079" width="12.44140625" style="81" customWidth="1"/>
    <col min="3080" max="3328" width="9.109375" style="81" customWidth="1"/>
    <col min="3329" max="3329" width="8.88671875" style="81" customWidth="1"/>
    <col min="3330" max="3330" width="44.44140625" style="81" customWidth="1"/>
    <col min="3331" max="3331" width="13.88671875" style="81" customWidth="1"/>
    <col min="3332" max="3332" width="13" style="81" customWidth="1"/>
    <col min="3333" max="3333" width="12.33203125" style="81" customWidth="1"/>
    <col min="3334" max="3335" width="12.44140625" style="81" customWidth="1"/>
    <col min="3336" max="3584" width="9.109375" style="81" customWidth="1"/>
    <col min="3585" max="3585" width="8.88671875" style="81" customWidth="1"/>
    <col min="3586" max="3586" width="44.44140625" style="81" customWidth="1"/>
    <col min="3587" max="3587" width="13.88671875" style="81" customWidth="1"/>
    <col min="3588" max="3588" width="13" style="81" customWidth="1"/>
    <col min="3589" max="3589" width="12.33203125" style="81" customWidth="1"/>
    <col min="3590" max="3591" width="12.44140625" style="81" customWidth="1"/>
    <col min="3592" max="3840" width="9.109375" style="81" customWidth="1"/>
    <col min="3841" max="3841" width="8.88671875" style="81" customWidth="1"/>
    <col min="3842" max="3842" width="44.44140625" style="81" customWidth="1"/>
    <col min="3843" max="3843" width="13.88671875" style="81" customWidth="1"/>
    <col min="3844" max="3844" width="13" style="81" customWidth="1"/>
    <col min="3845" max="3845" width="12.33203125" style="81" customWidth="1"/>
    <col min="3846" max="3847" width="12.44140625" style="81" customWidth="1"/>
    <col min="3848" max="4096" width="9.109375" style="81" customWidth="1"/>
    <col min="4097" max="4097" width="8.88671875" style="81" customWidth="1"/>
    <col min="4098" max="4098" width="44.44140625" style="81" customWidth="1"/>
    <col min="4099" max="4099" width="13.88671875" style="81" customWidth="1"/>
    <col min="4100" max="4100" width="13" style="81" customWidth="1"/>
    <col min="4101" max="4101" width="12.33203125" style="81" customWidth="1"/>
    <col min="4102" max="4103" width="12.44140625" style="81" customWidth="1"/>
    <col min="4104" max="4352" width="9.109375" style="81" customWidth="1"/>
    <col min="4353" max="4353" width="8.88671875" style="81" customWidth="1"/>
    <col min="4354" max="4354" width="44.44140625" style="81" customWidth="1"/>
    <col min="4355" max="4355" width="13.88671875" style="81" customWidth="1"/>
    <col min="4356" max="4356" width="13" style="81" customWidth="1"/>
    <col min="4357" max="4357" width="12.33203125" style="81" customWidth="1"/>
    <col min="4358" max="4359" width="12.44140625" style="81" customWidth="1"/>
    <col min="4360" max="4608" width="9.109375" style="81" customWidth="1"/>
    <col min="4609" max="4609" width="8.88671875" style="81" customWidth="1"/>
    <col min="4610" max="4610" width="44.44140625" style="81" customWidth="1"/>
    <col min="4611" max="4611" width="13.88671875" style="81" customWidth="1"/>
    <col min="4612" max="4612" width="13" style="81" customWidth="1"/>
    <col min="4613" max="4613" width="12.33203125" style="81" customWidth="1"/>
    <col min="4614" max="4615" width="12.44140625" style="81" customWidth="1"/>
    <col min="4616" max="4864" width="9.109375" style="81" customWidth="1"/>
    <col min="4865" max="4865" width="8.88671875" style="81" customWidth="1"/>
    <col min="4866" max="4866" width="44.44140625" style="81" customWidth="1"/>
    <col min="4867" max="4867" width="13.88671875" style="81" customWidth="1"/>
    <col min="4868" max="4868" width="13" style="81" customWidth="1"/>
    <col min="4869" max="4869" width="12.33203125" style="81" customWidth="1"/>
    <col min="4870" max="4871" width="12.44140625" style="81" customWidth="1"/>
    <col min="4872" max="5120" width="9.109375" style="81" customWidth="1"/>
    <col min="5121" max="5121" width="8.88671875" style="81" customWidth="1"/>
    <col min="5122" max="5122" width="44.44140625" style="81" customWidth="1"/>
    <col min="5123" max="5123" width="13.88671875" style="81" customWidth="1"/>
    <col min="5124" max="5124" width="13" style="81" customWidth="1"/>
    <col min="5125" max="5125" width="12.33203125" style="81" customWidth="1"/>
    <col min="5126" max="5127" width="12.44140625" style="81" customWidth="1"/>
    <col min="5128" max="5376" width="9.109375" style="81" customWidth="1"/>
    <col min="5377" max="5377" width="8.88671875" style="81" customWidth="1"/>
    <col min="5378" max="5378" width="44.44140625" style="81" customWidth="1"/>
    <col min="5379" max="5379" width="13.88671875" style="81" customWidth="1"/>
    <col min="5380" max="5380" width="13" style="81" customWidth="1"/>
    <col min="5381" max="5381" width="12.33203125" style="81" customWidth="1"/>
    <col min="5382" max="5383" width="12.44140625" style="81" customWidth="1"/>
    <col min="5384" max="5632" width="9.109375" style="81" customWidth="1"/>
    <col min="5633" max="5633" width="8.88671875" style="81" customWidth="1"/>
    <col min="5634" max="5634" width="44.44140625" style="81" customWidth="1"/>
    <col min="5635" max="5635" width="13.88671875" style="81" customWidth="1"/>
    <col min="5636" max="5636" width="13" style="81" customWidth="1"/>
    <col min="5637" max="5637" width="12.33203125" style="81" customWidth="1"/>
    <col min="5638" max="5639" width="12.44140625" style="81" customWidth="1"/>
    <col min="5640" max="5888" width="9.109375" style="81" customWidth="1"/>
    <col min="5889" max="5889" width="8.88671875" style="81" customWidth="1"/>
    <col min="5890" max="5890" width="44.44140625" style="81" customWidth="1"/>
    <col min="5891" max="5891" width="13.88671875" style="81" customWidth="1"/>
    <col min="5892" max="5892" width="13" style="81" customWidth="1"/>
    <col min="5893" max="5893" width="12.33203125" style="81" customWidth="1"/>
    <col min="5894" max="5895" width="12.44140625" style="81" customWidth="1"/>
    <col min="5896" max="6144" width="9.109375" style="81" customWidth="1"/>
    <col min="6145" max="6145" width="8.88671875" style="81" customWidth="1"/>
    <col min="6146" max="6146" width="44.44140625" style="81" customWidth="1"/>
    <col min="6147" max="6147" width="13.88671875" style="81" customWidth="1"/>
    <col min="6148" max="6148" width="13" style="81" customWidth="1"/>
    <col min="6149" max="6149" width="12.33203125" style="81" customWidth="1"/>
    <col min="6150" max="6151" width="12.44140625" style="81" customWidth="1"/>
    <col min="6152" max="6400" width="9.109375" style="81" customWidth="1"/>
    <col min="6401" max="6401" width="8.88671875" style="81" customWidth="1"/>
    <col min="6402" max="6402" width="44.44140625" style="81" customWidth="1"/>
    <col min="6403" max="6403" width="13.88671875" style="81" customWidth="1"/>
    <col min="6404" max="6404" width="13" style="81" customWidth="1"/>
    <col min="6405" max="6405" width="12.33203125" style="81" customWidth="1"/>
    <col min="6406" max="6407" width="12.44140625" style="81" customWidth="1"/>
    <col min="6408" max="6656" width="9.109375" style="81" customWidth="1"/>
    <col min="6657" max="6657" width="8.88671875" style="81" customWidth="1"/>
    <col min="6658" max="6658" width="44.44140625" style="81" customWidth="1"/>
    <col min="6659" max="6659" width="13.88671875" style="81" customWidth="1"/>
    <col min="6660" max="6660" width="13" style="81" customWidth="1"/>
    <col min="6661" max="6661" width="12.33203125" style="81" customWidth="1"/>
    <col min="6662" max="6663" width="12.44140625" style="81" customWidth="1"/>
    <col min="6664" max="6912" width="9.109375" style="81" customWidth="1"/>
    <col min="6913" max="6913" width="8.88671875" style="81" customWidth="1"/>
    <col min="6914" max="6914" width="44.44140625" style="81" customWidth="1"/>
    <col min="6915" max="6915" width="13.88671875" style="81" customWidth="1"/>
    <col min="6916" max="6916" width="13" style="81" customWidth="1"/>
    <col min="6917" max="6917" width="12.33203125" style="81" customWidth="1"/>
    <col min="6918" max="6919" width="12.44140625" style="81" customWidth="1"/>
    <col min="6920" max="7168" width="9.109375" style="81" customWidth="1"/>
    <col min="7169" max="7169" width="8.88671875" style="81" customWidth="1"/>
    <col min="7170" max="7170" width="44.44140625" style="81" customWidth="1"/>
    <col min="7171" max="7171" width="13.88671875" style="81" customWidth="1"/>
    <col min="7172" max="7172" width="13" style="81" customWidth="1"/>
    <col min="7173" max="7173" width="12.33203125" style="81" customWidth="1"/>
    <col min="7174" max="7175" width="12.44140625" style="81" customWidth="1"/>
    <col min="7176" max="7424" width="9.109375" style="81" customWidth="1"/>
    <col min="7425" max="7425" width="8.88671875" style="81" customWidth="1"/>
    <col min="7426" max="7426" width="44.44140625" style="81" customWidth="1"/>
    <col min="7427" max="7427" width="13.88671875" style="81" customWidth="1"/>
    <col min="7428" max="7428" width="13" style="81" customWidth="1"/>
    <col min="7429" max="7429" width="12.33203125" style="81" customWidth="1"/>
    <col min="7430" max="7431" width="12.44140625" style="81" customWidth="1"/>
    <col min="7432" max="7680" width="9.109375" style="81" customWidth="1"/>
    <col min="7681" max="7681" width="8.88671875" style="81" customWidth="1"/>
    <col min="7682" max="7682" width="44.44140625" style="81" customWidth="1"/>
    <col min="7683" max="7683" width="13.88671875" style="81" customWidth="1"/>
    <col min="7684" max="7684" width="13" style="81" customWidth="1"/>
    <col min="7685" max="7685" width="12.33203125" style="81" customWidth="1"/>
    <col min="7686" max="7687" width="12.44140625" style="81" customWidth="1"/>
    <col min="7688" max="7936" width="9.109375" style="81" customWidth="1"/>
    <col min="7937" max="7937" width="8.88671875" style="81" customWidth="1"/>
    <col min="7938" max="7938" width="44.44140625" style="81" customWidth="1"/>
    <col min="7939" max="7939" width="13.88671875" style="81" customWidth="1"/>
    <col min="7940" max="7940" width="13" style="81" customWidth="1"/>
    <col min="7941" max="7941" width="12.33203125" style="81" customWidth="1"/>
    <col min="7942" max="7943" width="12.44140625" style="81" customWidth="1"/>
    <col min="7944" max="8192" width="9.109375" style="81" customWidth="1"/>
    <col min="8193" max="8193" width="8.88671875" style="81" customWidth="1"/>
    <col min="8194" max="8194" width="44.44140625" style="81" customWidth="1"/>
    <col min="8195" max="8195" width="13.88671875" style="81" customWidth="1"/>
    <col min="8196" max="8196" width="13" style="81" customWidth="1"/>
    <col min="8197" max="8197" width="12.33203125" style="81" customWidth="1"/>
    <col min="8198" max="8199" width="12.44140625" style="81" customWidth="1"/>
    <col min="8200" max="8448" width="9.109375" style="81" customWidth="1"/>
    <col min="8449" max="8449" width="8.88671875" style="81" customWidth="1"/>
    <col min="8450" max="8450" width="44.44140625" style="81" customWidth="1"/>
    <col min="8451" max="8451" width="13.88671875" style="81" customWidth="1"/>
    <col min="8452" max="8452" width="13" style="81" customWidth="1"/>
    <col min="8453" max="8453" width="12.33203125" style="81" customWidth="1"/>
    <col min="8454" max="8455" width="12.44140625" style="81" customWidth="1"/>
    <col min="8456" max="8704" width="9.109375" style="81" customWidth="1"/>
    <col min="8705" max="8705" width="8.88671875" style="81" customWidth="1"/>
    <col min="8706" max="8706" width="44.44140625" style="81" customWidth="1"/>
    <col min="8707" max="8707" width="13.88671875" style="81" customWidth="1"/>
    <col min="8708" max="8708" width="13" style="81" customWidth="1"/>
    <col min="8709" max="8709" width="12.33203125" style="81" customWidth="1"/>
    <col min="8710" max="8711" width="12.44140625" style="81" customWidth="1"/>
    <col min="8712" max="8960" width="9.109375" style="81" customWidth="1"/>
    <col min="8961" max="8961" width="8.88671875" style="81" customWidth="1"/>
    <col min="8962" max="8962" width="44.44140625" style="81" customWidth="1"/>
    <col min="8963" max="8963" width="13.88671875" style="81" customWidth="1"/>
    <col min="8964" max="8964" width="13" style="81" customWidth="1"/>
    <col min="8965" max="8965" width="12.33203125" style="81" customWidth="1"/>
    <col min="8966" max="8967" width="12.44140625" style="81" customWidth="1"/>
    <col min="8968" max="9216" width="9.109375" style="81" customWidth="1"/>
    <col min="9217" max="9217" width="8.88671875" style="81" customWidth="1"/>
    <col min="9218" max="9218" width="44.44140625" style="81" customWidth="1"/>
    <col min="9219" max="9219" width="13.88671875" style="81" customWidth="1"/>
    <col min="9220" max="9220" width="13" style="81" customWidth="1"/>
    <col min="9221" max="9221" width="12.33203125" style="81" customWidth="1"/>
    <col min="9222" max="9223" width="12.44140625" style="81" customWidth="1"/>
    <col min="9224" max="9472" width="9.109375" style="81" customWidth="1"/>
    <col min="9473" max="9473" width="8.88671875" style="81" customWidth="1"/>
    <col min="9474" max="9474" width="44.44140625" style="81" customWidth="1"/>
    <col min="9475" max="9475" width="13.88671875" style="81" customWidth="1"/>
    <col min="9476" max="9476" width="13" style="81" customWidth="1"/>
    <col min="9477" max="9477" width="12.33203125" style="81" customWidth="1"/>
    <col min="9478" max="9479" width="12.44140625" style="81" customWidth="1"/>
    <col min="9480" max="9728" width="9.109375" style="81" customWidth="1"/>
    <col min="9729" max="9729" width="8.88671875" style="81" customWidth="1"/>
    <col min="9730" max="9730" width="44.44140625" style="81" customWidth="1"/>
    <col min="9731" max="9731" width="13.88671875" style="81" customWidth="1"/>
    <col min="9732" max="9732" width="13" style="81" customWidth="1"/>
    <col min="9733" max="9733" width="12.33203125" style="81" customWidth="1"/>
    <col min="9734" max="9735" width="12.44140625" style="81" customWidth="1"/>
    <col min="9736" max="9984" width="9.109375" style="81" customWidth="1"/>
    <col min="9985" max="9985" width="8.88671875" style="81" customWidth="1"/>
    <col min="9986" max="9986" width="44.44140625" style="81" customWidth="1"/>
    <col min="9987" max="9987" width="13.88671875" style="81" customWidth="1"/>
    <col min="9988" max="9988" width="13" style="81" customWidth="1"/>
    <col min="9989" max="9989" width="12.33203125" style="81" customWidth="1"/>
    <col min="9990" max="9991" width="12.44140625" style="81" customWidth="1"/>
    <col min="9992" max="10240" width="9.109375" style="81" customWidth="1"/>
    <col min="10241" max="10241" width="8.88671875" style="81" customWidth="1"/>
    <col min="10242" max="10242" width="44.44140625" style="81" customWidth="1"/>
    <col min="10243" max="10243" width="13.88671875" style="81" customWidth="1"/>
    <col min="10244" max="10244" width="13" style="81" customWidth="1"/>
    <col min="10245" max="10245" width="12.33203125" style="81" customWidth="1"/>
    <col min="10246" max="10247" width="12.44140625" style="81" customWidth="1"/>
    <col min="10248" max="10496" width="9.109375" style="81" customWidth="1"/>
    <col min="10497" max="10497" width="8.88671875" style="81" customWidth="1"/>
    <col min="10498" max="10498" width="44.44140625" style="81" customWidth="1"/>
    <col min="10499" max="10499" width="13.88671875" style="81" customWidth="1"/>
    <col min="10500" max="10500" width="13" style="81" customWidth="1"/>
    <col min="10501" max="10501" width="12.33203125" style="81" customWidth="1"/>
    <col min="10502" max="10503" width="12.44140625" style="81" customWidth="1"/>
    <col min="10504" max="10752" width="9.109375" style="81" customWidth="1"/>
    <col min="10753" max="10753" width="8.88671875" style="81" customWidth="1"/>
    <col min="10754" max="10754" width="44.44140625" style="81" customWidth="1"/>
    <col min="10755" max="10755" width="13.88671875" style="81" customWidth="1"/>
    <col min="10756" max="10756" width="13" style="81" customWidth="1"/>
    <col min="10757" max="10757" width="12.33203125" style="81" customWidth="1"/>
    <col min="10758" max="10759" width="12.44140625" style="81" customWidth="1"/>
    <col min="10760" max="11008" width="9.109375" style="81" customWidth="1"/>
    <col min="11009" max="11009" width="8.88671875" style="81" customWidth="1"/>
    <col min="11010" max="11010" width="44.44140625" style="81" customWidth="1"/>
    <col min="11011" max="11011" width="13.88671875" style="81" customWidth="1"/>
    <col min="11012" max="11012" width="13" style="81" customWidth="1"/>
    <col min="11013" max="11013" width="12.33203125" style="81" customWidth="1"/>
    <col min="11014" max="11015" width="12.44140625" style="81" customWidth="1"/>
    <col min="11016" max="11264" width="9.109375" style="81" customWidth="1"/>
    <col min="11265" max="11265" width="8.88671875" style="81" customWidth="1"/>
    <col min="11266" max="11266" width="44.44140625" style="81" customWidth="1"/>
    <col min="11267" max="11267" width="13.88671875" style="81" customWidth="1"/>
    <col min="11268" max="11268" width="13" style="81" customWidth="1"/>
    <col min="11269" max="11269" width="12.33203125" style="81" customWidth="1"/>
    <col min="11270" max="11271" width="12.44140625" style="81" customWidth="1"/>
    <col min="11272" max="11520" width="9.109375" style="81" customWidth="1"/>
    <col min="11521" max="11521" width="8.88671875" style="81" customWidth="1"/>
    <col min="11522" max="11522" width="44.44140625" style="81" customWidth="1"/>
    <col min="11523" max="11523" width="13.88671875" style="81" customWidth="1"/>
    <col min="11524" max="11524" width="13" style="81" customWidth="1"/>
    <col min="11525" max="11525" width="12.33203125" style="81" customWidth="1"/>
    <col min="11526" max="11527" width="12.44140625" style="81" customWidth="1"/>
    <col min="11528" max="11776" width="9.109375" style="81" customWidth="1"/>
    <col min="11777" max="11777" width="8.88671875" style="81" customWidth="1"/>
    <col min="11778" max="11778" width="44.44140625" style="81" customWidth="1"/>
    <col min="11779" max="11779" width="13.88671875" style="81" customWidth="1"/>
    <col min="11780" max="11780" width="13" style="81" customWidth="1"/>
    <col min="11781" max="11781" width="12.33203125" style="81" customWidth="1"/>
    <col min="11782" max="11783" width="12.44140625" style="81" customWidth="1"/>
    <col min="11784" max="12032" width="9.109375" style="81" customWidth="1"/>
    <col min="12033" max="12033" width="8.88671875" style="81" customWidth="1"/>
    <col min="12034" max="12034" width="44.44140625" style="81" customWidth="1"/>
    <col min="12035" max="12035" width="13.88671875" style="81" customWidth="1"/>
    <col min="12036" max="12036" width="13" style="81" customWidth="1"/>
    <col min="12037" max="12037" width="12.33203125" style="81" customWidth="1"/>
    <col min="12038" max="12039" width="12.44140625" style="81" customWidth="1"/>
    <col min="12040" max="12288" width="9.109375" style="81" customWidth="1"/>
    <col min="12289" max="12289" width="8.88671875" style="81" customWidth="1"/>
    <col min="12290" max="12290" width="44.44140625" style="81" customWidth="1"/>
    <col min="12291" max="12291" width="13.88671875" style="81" customWidth="1"/>
    <col min="12292" max="12292" width="13" style="81" customWidth="1"/>
    <col min="12293" max="12293" width="12.33203125" style="81" customWidth="1"/>
    <col min="12294" max="12295" width="12.44140625" style="81" customWidth="1"/>
    <col min="12296" max="12544" width="9.109375" style="81" customWidth="1"/>
    <col min="12545" max="12545" width="8.88671875" style="81" customWidth="1"/>
    <col min="12546" max="12546" width="44.44140625" style="81" customWidth="1"/>
    <col min="12547" max="12547" width="13.88671875" style="81" customWidth="1"/>
    <col min="12548" max="12548" width="13" style="81" customWidth="1"/>
    <col min="12549" max="12549" width="12.33203125" style="81" customWidth="1"/>
    <col min="12550" max="12551" width="12.44140625" style="81" customWidth="1"/>
    <col min="12552" max="12800" width="9.109375" style="81" customWidth="1"/>
    <col min="12801" max="12801" width="8.88671875" style="81" customWidth="1"/>
    <col min="12802" max="12802" width="44.44140625" style="81" customWidth="1"/>
    <col min="12803" max="12803" width="13.88671875" style="81" customWidth="1"/>
    <col min="12804" max="12804" width="13" style="81" customWidth="1"/>
    <col min="12805" max="12805" width="12.33203125" style="81" customWidth="1"/>
    <col min="12806" max="12807" width="12.44140625" style="81" customWidth="1"/>
    <col min="12808" max="13056" width="9.109375" style="81" customWidth="1"/>
    <col min="13057" max="13057" width="8.88671875" style="81" customWidth="1"/>
    <col min="13058" max="13058" width="44.44140625" style="81" customWidth="1"/>
    <col min="13059" max="13059" width="13.88671875" style="81" customWidth="1"/>
    <col min="13060" max="13060" width="13" style="81" customWidth="1"/>
    <col min="13061" max="13061" width="12.33203125" style="81" customWidth="1"/>
    <col min="13062" max="13063" width="12.44140625" style="81" customWidth="1"/>
    <col min="13064" max="13312" width="9.109375" style="81" customWidth="1"/>
    <col min="13313" max="13313" width="8.88671875" style="81" customWidth="1"/>
    <col min="13314" max="13314" width="44.44140625" style="81" customWidth="1"/>
    <col min="13315" max="13315" width="13.88671875" style="81" customWidth="1"/>
    <col min="13316" max="13316" width="13" style="81" customWidth="1"/>
    <col min="13317" max="13317" width="12.33203125" style="81" customWidth="1"/>
    <col min="13318" max="13319" width="12.44140625" style="81" customWidth="1"/>
    <col min="13320" max="13568" width="9.109375" style="81" customWidth="1"/>
    <col min="13569" max="13569" width="8.88671875" style="81" customWidth="1"/>
    <col min="13570" max="13570" width="44.44140625" style="81" customWidth="1"/>
    <col min="13571" max="13571" width="13.88671875" style="81" customWidth="1"/>
    <col min="13572" max="13572" width="13" style="81" customWidth="1"/>
    <col min="13573" max="13573" width="12.33203125" style="81" customWidth="1"/>
    <col min="13574" max="13575" width="12.44140625" style="81" customWidth="1"/>
    <col min="13576" max="13824" width="9.109375" style="81" customWidth="1"/>
    <col min="13825" max="13825" width="8.88671875" style="81" customWidth="1"/>
    <col min="13826" max="13826" width="44.44140625" style="81" customWidth="1"/>
    <col min="13827" max="13827" width="13.88671875" style="81" customWidth="1"/>
    <col min="13828" max="13828" width="13" style="81" customWidth="1"/>
    <col min="13829" max="13829" width="12.33203125" style="81" customWidth="1"/>
    <col min="13830" max="13831" width="12.44140625" style="81" customWidth="1"/>
    <col min="13832" max="14080" width="9.109375" style="81" customWidth="1"/>
    <col min="14081" max="14081" width="8.88671875" style="81" customWidth="1"/>
    <col min="14082" max="14082" width="44.44140625" style="81" customWidth="1"/>
    <col min="14083" max="14083" width="13.88671875" style="81" customWidth="1"/>
    <col min="14084" max="14084" width="13" style="81" customWidth="1"/>
    <col min="14085" max="14085" width="12.33203125" style="81" customWidth="1"/>
    <col min="14086" max="14087" width="12.44140625" style="81" customWidth="1"/>
    <col min="14088" max="14336" width="9.109375" style="81" customWidth="1"/>
    <col min="14337" max="14337" width="8.88671875" style="81" customWidth="1"/>
    <col min="14338" max="14338" width="44.44140625" style="81" customWidth="1"/>
    <col min="14339" max="14339" width="13.88671875" style="81" customWidth="1"/>
    <col min="14340" max="14340" width="13" style="81" customWidth="1"/>
    <col min="14341" max="14341" width="12.33203125" style="81" customWidth="1"/>
    <col min="14342" max="14343" width="12.44140625" style="81" customWidth="1"/>
    <col min="14344" max="14592" width="9.109375" style="81" customWidth="1"/>
    <col min="14593" max="14593" width="8.88671875" style="81" customWidth="1"/>
    <col min="14594" max="14594" width="44.44140625" style="81" customWidth="1"/>
    <col min="14595" max="14595" width="13.88671875" style="81" customWidth="1"/>
    <col min="14596" max="14596" width="13" style="81" customWidth="1"/>
    <col min="14597" max="14597" width="12.33203125" style="81" customWidth="1"/>
    <col min="14598" max="14599" width="12.44140625" style="81" customWidth="1"/>
    <col min="14600" max="14848" width="9.109375" style="81" customWidth="1"/>
    <col min="14849" max="14849" width="8.88671875" style="81" customWidth="1"/>
    <col min="14850" max="14850" width="44.44140625" style="81" customWidth="1"/>
    <col min="14851" max="14851" width="13.88671875" style="81" customWidth="1"/>
    <col min="14852" max="14852" width="13" style="81" customWidth="1"/>
    <col min="14853" max="14853" width="12.33203125" style="81" customWidth="1"/>
    <col min="14854" max="14855" width="12.44140625" style="81" customWidth="1"/>
    <col min="14856" max="15104" width="9.109375" style="81" customWidth="1"/>
    <col min="15105" max="15105" width="8.88671875" style="81" customWidth="1"/>
    <col min="15106" max="15106" width="44.44140625" style="81" customWidth="1"/>
    <col min="15107" max="15107" width="13.88671875" style="81" customWidth="1"/>
    <col min="15108" max="15108" width="13" style="81" customWidth="1"/>
    <col min="15109" max="15109" width="12.33203125" style="81" customWidth="1"/>
    <col min="15110" max="15111" width="12.44140625" style="81" customWidth="1"/>
    <col min="15112" max="15360" width="9.109375" style="81" customWidth="1"/>
    <col min="15361" max="15361" width="8.88671875" style="81" customWidth="1"/>
    <col min="15362" max="15362" width="44.44140625" style="81" customWidth="1"/>
    <col min="15363" max="15363" width="13.88671875" style="81" customWidth="1"/>
    <col min="15364" max="15364" width="13" style="81" customWidth="1"/>
    <col min="15365" max="15365" width="12.33203125" style="81" customWidth="1"/>
    <col min="15366" max="15367" width="12.44140625" style="81" customWidth="1"/>
    <col min="15368" max="15616" width="9.109375" style="81" customWidth="1"/>
    <col min="15617" max="15617" width="8.88671875" style="81" customWidth="1"/>
    <col min="15618" max="15618" width="44.44140625" style="81" customWidth="1"/>
    <col min="15619" max="15619" width="13.88671875" style="81" customWidth="1"/>
    <col min="15620" max="15620" width="13" style="81" customWidth="1"/>
    <col min="15621" max="15621" width="12.33203125" style="81" customWidth="1"/>
    <col min="15622" max="15623" width="12.44140625" style="81" customWidth="1"/>
    <col min="15624" max="15872" width="9.109375" style="81" customWidth="1"/>
    <col min="15873" max="15873" width="8.88671875" style="81" customWidth="1"/>
    <col min="15874" max="15874" width="44.44140625" style="81" customWidth="1"/>
    <col min="15875" max="15875" width="13.88671875" style="81" customWidth="1"/>
    <col min="15876" max="15876" width="13" style="81" customWidth="1"/>
    <col min="15877" max="15877" width="12.33203125" style="81" customWidth="1"/>
    <col min="15878" max="15879" width="12.44140625" style="81" customWidth="1"/>
    <col min="15880" max="16128" width="9.109375" style="81" customWidth="1"/>
    <col min="16129" max="16129" width="8.88671875" style="81" customWidth="1"/>
    <col min="16130" max="16130" width="44.44140625" style="81" customWidth="1"/>
    <col min="16131" max="16131" width="13.88671875" style="81" customWidth="1"/>
    <col min="16132" max="16132" width="13" style="81" customWidth="1"/>
    <col min="16133" max="16133" width="12.33203125" style="81" customWidth="1"/>
    <col min="16134" max="16135" width="12.44140625" style="81" customWidth="1"/>
    <col min="16136" max="16384" width="9.109375" style="81" customWidth="1"/>
  </cols>
  <sheetData>
    <row r="1" spans="1:7" ht="21" customHeight="1" x14ac:dyDescent="0.3">
      <c r="B1" s="80"/>
      <c r="C1" s="80"/>
      <c r="D1" s="80"/>
      <c r="E1" s="80"/>
      <c r="F1" s="228" t="s">
        <v>193</v>
      </c>
      <c r="G1" s="242"/>
    </row>
    <row r="2" spans="1:7" ht="58.2" customHeight="1" x14ac:dyDescent="0.3">
      <c r="A2" s="81"/>
      <c r="B2" s="82"/>
      <c r="C2" s="82"/>
      <c r="D2" s="82"/>
      <c r="E2" s="83"/>
      <c r="F2" s="243" t="s">
        <v>249</v>
      </c>
      <c r="G2" s="243"/>
    </row>
    <row r="3" spans="1:7" ht="4.2" customHeight="1" x14ac:dyDescent="0.3">
      <c r="A3" s="81"/>
      <c r="B3" s="82"/>
      <c r="C3" s="82"/>
      <c r="D3" s="82"/>
      <c r="E3" s="83"/>
      <c r="F3" s="83"/>
      <c r="G3" s="82"/>
    </row>
    <row r="4" spans="1:7" ht="15" customHeight="1" x14ac:dyDescent="0.3">
      <c r="A4" s="81"/>
      <c r="B4" s="82"/>
      <c r="C4" s="82"/>
      <c r="D4" s="82"/>
      <c r="E4" s="83"/>
      <c r="F4" s="83"/>
      <c r="G4" s="82"/>
    </row>
    <row r="5" spans="1:7" ht="17.399999999999999" x14ac:dyDescent="0.3">
      <c r="A5" s="81"/>
      <c r="B5" s="244" t="s">
        <v>179</v>
      </c>
      <c r="C5" s="244"/>
      <c r="D5" s="244"/>
      <c r="E5" s="244"/>
      <c r="F5" s="244"/>
      <c r="G5" s="82"/>
    </row>
    <row r="6" spans="1:7" ht="9.6" customHeight="1" x14ac:dyDescent="0.25">
      <c r="A6" s="81"/>
      <c r="B6" s="84"/>
      <c r="C6" s="84"/>
      <c r="D6" s="84"/>
      <c r="E6" s="84"/>
      <c r="F6" s="84"/>
      <c r="G6" s="81"/>
    </row>
    <row r="7" spans="1:7" ht="15" customHeight="1" x14ac:dyDescent="0.25">
      <c r="A7" s="235">
        <v>1356300000</v>
      </c>
      <c r="B7" s="235"/>
      <c r="C7" s="81"/>
      <c r="D7" s="81"/>
      <c r="E7" s="81"/>
      <c r="F7" s="81"/>
      <c r="G7" s="81"/>
    </row>
    <row r="8" spans="1:7" ht="15" customHeight="1" x14ac:dyDescent="0.25">
      <c r="A8" s="236" t="s">
        <v>0</v>
      </c>
      <c r="B8" s="236"/>
      <c r="C8" s="81"/>
      <c r="D8" s="81"/>
      <c r="E8" s="81"/>
      <c r="F8" s="81"/>
      <c r="G8" s="81"/>
    </row>
    <row r="9" spans="1:7" ht="19.95" customHeight="1" x14ac:dyDescent="0.3">
      <c r="A9" s="81"/>
      <c r="B9" s="81"/>
      <c r="C9" s="81"/>
      <c r="D9" s="81"/>
      <c r="E9" s="81"/>
      <c r="F9" s="81"/>
      <c r="G9" s="85" t="s">
        <v>11</v>
      </c>
    </row>
    <row r="10" spans="1:7" ht="42" customHeight="1" x14ac:dyDescent="0.25">
      <c r="A10" s="86" t="s">
        <v>12</v>
      </c>
      <c r="B10" s="86" t="s">
        <v>3</v>
      </c>
      <c r="C10" s="41" t="s">
        <v>250</v>
      </c>
      <c r="D10" s="41" t="s">
        <v>251</v>
      </c>
      <c r="E10" s="41" t="s">
        <v>95</v>
      </c>
      <c r="F10" s="41" t="s">
        <v>96</v>
      </c>
      <c r="G10" s="41" t="s">
        <v>252</v>
      </c>
    </row>
    <row r="11" spans="1:7" s="79" customFormat="1" ht="15" customHeight="1" x14ac:dyDescent="0.25">
      <c r="A11" s="87">
        <v>1</v>
      </c>
      <c r="B11" s="87">
        <v>2</v>
      </c>
      <c r="C11" s="87">
        <v>3</v>
      </c>
      <c r="D11" s="87">
        <v>4</v>
      </c>
      <c r="E11" s="87">
        <v>5</v>
      </c>
      <c r="F11" s="87">
        <v>6</v>
      </c>
      <c r="G11" s="87">
        <v>7</v>
      </c>
    </row>
    <row r="12" spans="1:7" s="88" customFormat="1" ht="15" customHeight="1" x14ac:dyDescent="0.3">
      <c r="A12" s="241" t="s">
        <v>97</v>
      </c>
      <c r="B12" s="241"/>
      <c r="C12" s="241"/>
      <c r="D12" s="241"/>
      <c r="E12" s="241"/>
      <c r="F12" s="241"/>
      <c r="G12" s="241"/>
    </row>
    <row r="13" spans="1:7" s="88" customFormat="1" ht="15" customHeight="1" x14ac:dyDescent="0.3">
      <c r="A13" s="206" t="s">
        <v>9</v>
      </c>
      <c r="B13" s="71" t="s">
        <v>59</v>
      </c>
      <c r="C13" s="72">
        <f>C14+C29+C38</f>
        <v>17840955029.619999</v>
      </c>
      <c r="D13" s="72">
        <f>D14+D29+D38</f>
        <v>20081984484</v>
      </c>
      <c r="E13" s="125">
        <f>E14+E29+E38</f>
        <v>22729642700</v>
      </c>
      <c r="F13" s="125">
        <f>F14+F29+F38</f>
        <v>25209907175</v>
      </c>
      <c r="G13" s="125">
        <f>G14+G29+G38</f>
        <v>28087283240</v>
      </c>
    </row>
    <row r="14" spans="1:7" ht="15" customHeight="1" x14ac:dyDescent="0.25">
      <c r="A14" s="73">
        <v>10000000</v>
      </c>
      <c r="B14" s="71" t="s">
        <v>98</v>
      </c>
      <c r="C14" s="72">
        <f>SUM(C15:C28)</f>
        <v>17301075314.879997</v>
      </c>
      <c r="D14" s="72">
        <f>SUM(D15:D28)</f>
        <v>19546458984</v>
      </c>
      <c r="E14" s="125">
        <f>SUM(E15:E28)</f>
        <v>22170655700</v>
      </c>
      <c r="F14" s="125">
        <f>SUM(F15:F28)</f>
        <v>24607299200</v>
      </c>
      <c r="G14" s="125">
        <f>SUM(G15:G28)</f>
        <v>27509068900</v>
      </c>
    </row>
    <row r="15" spans="1:7" x14ac:dyDescent="0.25">
      <c r="A15" s="74">
        <v>11010000</v>
      </c>
      <c r="B15" s="75" t="s">
        <v>69</v>
      </c>
      <c r="C15" s="76">
        <v>10376056456.76</v>
      </c>
      <c r="D15" s="76">
        <v>11966477684</v>
      </c>
      <c r="E15" s="126">
        <f>13655993625+103000000+83985775</f>
        <v>13842979400</v>
      </c>
      <c r="F15" s="126">
        <v>15686672900</v>
      </c>
      <c r="G15" s="126">
        <v>17779007100</v>
      </c>
    </row>
    <row r="16" spans="1:7" ht="15" customHeight="1" x14ac:dyDescent="0.25">
      <c r="A16" s="74">
        <v>11020000</v>
      </c>
      <c r="B16" s="75" t="s">
        <v>70</v>
      </c>
      <c r="C16" s="76">
        <v>17188502.350000001</v>
      </c>
      <c r="D16" s="76">
        <v>15060000</v>
      </c>
      <c r="E16" s="126">
        <v>20200000</v>
      </c>
      <c r="F16" s="126">
        <v>21300000</v>
      </c>
      <c r="G16" s="126">
        <v>23700000</v>
      </c>
    </row>
    <row r="17" spans="1:7" x14ac:dyDescent="0.25">
      <c r="A17" s="74">
        <v>13010000</v>
      </c>
      <c r="B17" s="75" t="s">
        <v>71</v>
      </c>
      <c r="C17" s="76">
        <v>259960.65</v>
      </c>
      <c r="D17" s="76">
        <v>500000</v>
      </c>
      <c r="E17" s="126">
        <v>1040900</v>
      </c>
      <c r="F17" s="126">
        <v>1043000</v>
      </c>
      <c r="G17" s="126">
        <v>1046100</v>
      </c>
    </row>
    <row r="18" spans="1:7" x14ac:dyDescent="0.25">
      <c r="A18" s="74" t="s">
        <v>236</v>
      </c>
      <c r="B18" s="75" t="s">
        <v>237</v>
      </c>
      <c r="C18" s="76">
        <v>4.07</v>
      </c>
      <c r="D18" s="76"/>
      <c r="E18" s="126"/>
      <c r="F18" s="126"/>
      <c r="G18" s="126"/>
    </row>
    <row r="19" spans="1:7" ht="30" x14ac:dyDescent="0.25">
      <c r="A19" s="74">
        <v>13030000</v>
      </c>
      <c r="B19" s="75" t="s">
        <v>72</v>
      </c>
      <c r="C19" s="76">
        <v>165610.07</v>
      </c>
      <c r="D19" s="76">
        <v>200000</v>
      </c>
      <c r="E19" s="126">
        <v>204000</v>
      </c>
      <c r="F19" s="126">
        <v>207100</v>
      </c>
      <c r="G19" s="126">
        <v>210400</v>
      </c>
    </row>
    <row r="20" spans="1:7" ht="30" x14ac:dyDescent="0.25">
      <c r="A20" s="74">
        <v>14020000</v>
      </c>
      <c r="B20" s="75" t="s">
        <v>73</v>
      </c>
      <c r="C20" s="76">
        <v>43019895.759999998</v>
      </c>
      <c r="D20" s="76">
        <v>46926000</v>
      </c>
      <c r="E20" s="126">
        <v>52674400</v>
      </c>
      <c r="F20" s="126">
        <v>58547600</v>
      </c>
      <c r="G20" s="126">
        <v>62001900</v>
      </c>
    </row>
    <row r="21" spans="1:7" ht="28.5" customHeight="1" x14ac:dyDescent="0.25">
      <c r="A21" s="74">
        <v>14030000</v>
      </c>
      <c r="B21" s="75" t="s">
        <v>74</v>
      </c>
      <c r="C21" s="76">
        <v>365649011.42000002</v>
      </c>
      <c r="D21" s="76">
        <v>457957000</v>
      </c>
      <c r="E21" s="126">
        <f>514056700+46526400</f>
        <v>560583100</v>
      </c>
      <c r="F21" s="126">
        <v>571374000</v>
      </c>
      <c r="G21" s="126">
        <v>605085100</v>
      </c>
    </row>
    <row r="22" spans="1:7" ht="30" x14ac:dyDescent="0.25">
      <c r="A22" s="74">
        <v>14040000</v>
      </c>
      <c r="B22" s="75" t="s">
        <v>75</v>
      </c>
      <c r="C22" s="76">
        <v>718506775.53999996</v>
      </c>
      <c r="D22" s="76">
        <v>795500000</v>
      </c>
      <c r="E22" s="126">
        <v>910838100</v>
      </c>
      <c r="F22" s="126">
        <v>964948500</v>
      </c>
      <c r="G22" s="126">
        <v>1021880500</v>
      </c>
    </row>
    <row r="23" spans="1:7" x14ac:dyDescent="0.25">
      <c r="A23" s="74" t="s">
        <v>238</v>
      </c>
      <c r="B23" s="75" t="s">
        <v>239</v>
      </c>
      <c r="C23" s="76">
        <v>689.13</v>
      </c>
      <c r="D23" s="76"/>
      <c r="E23" s="126"/>
      <c r="F23" s="126"/>
      <c r="G23" s="126"/>
    </row>
    <row r="24" spans="1:7" ht="15" customHeight="1" x14ac:dyDescent="0.25">
      <c r="A24" s="74">
        <v>18010000</v>
      </c>
      <c r="B24" s="75" t="s">
        <v>76</v>
      </c>
      <c r="C24" s="76">
        <v>2051412567.47</v>
      </c>
      <c r="D24" s="76">
        <v>2185622100</v>
      </c>
      <c r="E24" s="126">
        <f>2486332100+17479200</f>
        <v>2503811300</v>
      </c>
      <c r="F24" s="126">
        <v>2680086300</v>
      </c>
      <c r="G24" s="126">
        <v>2842969400</v>
      </c>
    </row>
    <row r="25" spans="1:7" x14ac:dyDescent="0.25">
      <c r="A25" s="74">
        <v>18020000</v>
      </c>
      <c r="B25" s="75" t="s">
        <v>77</v>
      </c>
      <c r="C25" s="126">
        <v>51449275.899999999</v>
      </c>
      <c r="D25" s="76">
        <v>57900000</v>
      </c>
      <c r="E25" s="126">
        <f>61363300+2936700</f>
        <v>64300000</v>
      </c>
      <c r="F25" s="126">
        <v>66705000</v>
      </c>
      <c r="G25" s="126">
        <v>71441100</v>
      </c>
    </row>
    <row r="26" spans="1:7" ht="15" customHeight="1" x14ac:dyDescent="0.25">
      <c r="A26" s="74">
        <v>18030000</v>
      </c>
      <c r="B26" s="75" t="s">
        <v>78</v>
      </c>
      <c r="C26" s="76">
        <v>34943551.079999998</v>
      </c>
      <c r="D26" s="76">
        <v>35321000</v>
      </c>
      <c r="E26" s="126">
        <v>43200000</v>
      </c>
      <c r="F26" s="126">
        <v>47000000</v>
      </c>
      <c r="G26" s="126">
        <v>50400000</v>
      </c>
    </row>
    <row r="27" spans="1:7" ht="15" customHeight="1" x14ac:dyDescent="0.25">
      <c r="A27" s="74">
        <v>18050000</v>
      </c>
      <c r="B27" s="75" t="s">
        <v>79</v>
      </c>
      <c r="C27" s="76">
        <v>3642419060.6100001</v>
      </c>
      <c r="D27" s="76">
        <v>3984995200</v>
      </c>
      <c r="E27" s="126">
        <v>4170824500</v>
      </c>
      <c r="F27" s="126">
        <v>4509414800</v>
      </c>
      <c r="G27" s="126">
        <v>5051327300</v>
      </c>
    </row>
    <row r="28" spans="1:7" ht="45" x14ac:dyDescent="0.25">
      <c r="A28" s="74">
        <v>19090000</v>
      </c>
      <c r="B28" s="75" t="s">
        <v>80</v>
      </c>
      <c r="C28" s="76">
        <v>3954.07</v>
      </c>
      <c r="D28" s="76"/>
      <c r="E28" s="126"/>
      <c r="F28" s="126"/>
      <c r="G28" s="126"/>
    </row>
    <row r="29" spans="1:7" ht="15" customHeight="1" x14ac:dyDescent="0.25">
      <c r="A29" s="73">
        <v>20000000</v>
      </c>
      <c r="B29" s="71" t="s">
        <v>99</v>
      </c>
      <c r="C29" s="72">
        <f>SUM(C30:C37)</f>
        <v>539775329.99000001</v>
      </c>
      <c r="D29" s="72">
        <f>SUM(D30:D37)</f>
        <v>535351500</v>
      </c>
      <c r="E29" s="125">
        <f>SUM(E30:E37)</f>
        <v>558896000</v>
      </c>
      <c r="F29" s="125">
        <f>SUM(F30:F37)</f>
        <v>602516975</v>
      </c>
      <c r="G29" s="125">
        <f>SUM(G30:G37)</f>
        <v>578123340</v>
      </c>
    </row>
    <row r="30" spans="1:7" ht="79.5" customHeight="1" x14ac:dyDescent="0.25">
      <c r="A30" s="74">
        <v>21010000</v>
      </c>
      <c r="B30" s="75" t="s">
        <v>109</v>
      </c>
      <c r="C30" s="76">
        <v>2352606.7799999998</v>
      </c>
      <c r="D30" s="77">
        <v>2480000</v>
      </c>
      <c r="E30" s="126">
        <v>3200000</v>
      </c>
      <c r="F30" s="126">
        <v>3400000</v>
      </c>
      <c r="G30" s="126">
        <v>3800000</v>
      </c>
    </row>
    <row r="31" spans="1:7" ht="15" customHeight="1" x14ac:dyDescent="0.25">
      <c r="A31" s="74">
        <v>21080000</v>
      </c>
      <c r="B31" s="75" t="s">
        <v>81</v>
      </c>
      <c r="C31" s="76">
        <v>97895939.010000005</v>
      </c>
      <c r="D31" s="76">
        <v>101400000</v>
      </c>
      <c r="E31" s="126">
        <v>99050000</v>
      </c>
      <c r="F31" s="126">
        <v>106478750</v>
      </c>
      <c r="G31" s="126">
        <v>112760996</v>
      </c>
    </row>
    <row r="32" spans="1:7" ht="15" customHeight="1" x14ac:dyDescent="0.25">
      <c r="A32" s="74">
        <v>22010000</v>
      </c>
      <c r="B32" s="75" t="s">
        <v>82</v>
      </c>
      <c r="C32" s="76">
        <v>90073498.219999999</v>
      </c>
      <c r="D32" s="76">
        <v>88700000</v>
      </c>
      <c r="E32" s="126">
        <v>96683000</v>
      </c>
      <c r="F32" s="126">
        <v>103934225</v>
      </c>
      <c r="G32" s="126">
        <v>110066344</v>
      </c>
    </row>
    <row r="33" spans="1:7" ht="45" x14ac:dyDescent="0.25">
      <c r="A33" s="74">
        <v>22020000</v>
      </c>
      <c r="B33" s="75" t="s">
        <v>166</v>
      </c>
      <c r="C33" s="76">
        <v>24705000</v>
      </c>
      <c r="D33" s="76">
        <v>52070000</v>
      </c>
      <c r="E33" s="126">
        <v>50250000</v>
      </c>
      <c r="F33" s="126">
        <v>50250000</v>
      </c>
      <c r="G33" s="126"/>
    </row>
    <row r="34" spans="1:7" ht="30" x14ac:dyDescent="0.25">
      <c r="A34" s="74">
        <v>22080000</v>
      </c>
      <c r="B34" s="75" t="s">
        <v>108</v>
      </c>
      <c r="C34" s="76">
        <v>108645286.06999999</v>
      </c>
      <c r="D34" s="76">
        <v>111300000</v>
      </c>
      <c r="E34" s="126">
        <v>120000000</v>
      </c>
      <c r="F34" s="126">
        <v>129000000</v>
      </c>
      <c r="G34" s="126">
        <v>136611000</v>
      </c>
    </row>
    <row r="35" spans="1:7" ht="15" customHeight="1" x14ac:dyDescent="0.25">
      <c r="A35" s="74">
        <v>22090000</v>
      </c>
      <c r="B35" s="75" t="s">
        <v>83</v>
      </c>
      <c r="C35" s="76">
        <v>6409188.9800000004</v>
      </c>
      <c r="D35" s="76">
        <v>6601500</v>
      </c>
      <c r="E35" s="126">
        <v>6113000</v>
      </c>
      <c r="F35" s="126">
        <v>6454000</v>
      </c>
      <c r="G35" s="126">
        <v>6885000</v>
      </c>
    </row>
    <row r="36" spans="1:7" ht="75" x14ac:dyDescent="0.25">
      <c r="A36" s="74">
        <v>22130000</v>
      </c>
      <c r="B36" s="75" t="s">
        <v>175</v>
      </c>
      <c r="C36" s="126">
        <v>17459.88</v>
      </c>
      <c r="D36" s="76"/>
      <c r="E36" s="126"/>
      <c r="F36" s="126"/>
      <c r="G36" s="126"/>
    </row>
    <row r="37" spans="1:7" ht="15" customHeight="1" x14ac:dyDescent="0.25">
      <c r="A37" s="74">
        <v>24060000</v>
      </c>
      <c r="B37" s="75" t="s">
        <v>81</v>
      </c>
      <c r="C37" s="76">
        <v>209676351.05000001</v>
      </c>
      <c r="D37" s="76">
        <v>172800000</v>
      </c>
      <c r="E37" s="126">
        <f>201600000-18000000</f>
        <v>183600000</v>
      </c>
      <c r="F37" s="126">
        <v>203000000</v>
      </c>
      <c r="G37" s="126">
        <v>208000000</v>
      </c>
    </row>
    <row r="38" spans="1:7" ht="15" customHeight="1" x14ac:dyDescent="0.25">
      <c r="A38" s="73">
        <v>30000000</v>
      </c>
      <c r="B38" s="71" t="s">
        <v>100</v>
      </c>
      <c r="C38" s="72">
        <f>SUM(C39:C40)</f>
        <v>104384.75</v>
      </c>
      <c r="D38" s="72">
        <f t="shared" ref="D38:G38" si="0">SUM(D39:D40)</f>
        <v>174000</v>
      </c>
      <c r="E38" s="125">
        <f t="shared" si="0"/>
        <v>91000</v>
      </c>
      <c r="F38" s="125">
        <f t="shared" si="0"/>
        <v>91000</v>
      </c>
      <c r="G38" s="125">
        <f t="shared" si="0"/>
        <v>91000</v>
      </c>
    </row>
    <row r="39" spans="1:7" ht="60" x14ac:dyDescent="0.25">
      <c r="A39" s="74">
        <v>31010000</v>
      </c>
      <c r="B39" s="75" t="s">
        <v>84</v>
      </c>
      <c r="C39" s="76">
        <v>103982.75</v>
      </c>
      <c r="D39" s="76">
        <v>170000</v>
      </c>
      <c r="E39" s="126">
        <v>90000</v>
      </c>
      <c r="F39" s="126">
        <v>90000</v>
      </c>
      <c r="G39" s="126">
        <v>90000</v>
      </c>
    </row>
    <row r="40" spans="1:7" ht="28.5" customHeight="1" x14ac:dyDescent="0.25">
      <c r="A40" s="74">
        <v>31020000</v>
      </c>
      <c r="B40" s="75" t="s">
        <v>85</v>
      </c>
      <c r="C40" s="76">
        <v>402</v>
      </c>
      <c r="D40" s="76">
        <v>4000</v>
      </c>
      <c r="E40" s="126">
        <v>1000</v>
      </c>
      <c r="F40" s="126">
        <v>1000</v>
      </c>
      <c r="G40" s="126">
        <v>1000</v>
      </c>
    </row>
    <row r="41" spans="1:7" s="88" customFormat="1" ht="15" customHeight="1" x14ac:dyDescent="0.3">
      <c r="A41" s="206" t="s">
        <v>9</v>
      </c>
      <c r="B41" s="71" t="s">
        <v>60</v>
      </c>
      <c r="C41" s="72">
        <f>C42+C46+C52+C55</f>
        <v>1154610711.5599999</v>
      </c>
      <c r="D41" s="72">
        <f t="shared" ref="D41:F41" si="1">D42+D46+D52+D55</f>
        <v>1221659675</v>
      </c>
      <c r="E41" s="72">
        <f t="shared" si="1"/>
        <v>806257452</v>
      </c>
      <c r="F41" s="72">
        <f t="shared" si="1"/>
        <v>462605183</v>
      </c>
      <c r="G41" s="72">
        <f>G42+G46+G52+G55</f>
        <v>468934441</v>
      </c>
    </row>
    <row r="42" spans="1:7" ht="15" customHeight="1" x14ac:dyDescent="0.25">
      <c r="A42" s="73">
        <v>10000000</v>
      </c>
      <c r="B42" s="71" t="s">
        <v>98</v>
      </c>
      <c r="C42" s="125">
        <f>SUM(C43:C45)</f>
        <v>16507721.710000001</v>
      </c>
      <c r="D42" s="125">
        <f>SUM(D44:D44)</f>
        <v>14500000</v>
      </c>
      <c r="E42" s="125">
        <f>SUM(E44:E44)</f>
        <v>16000000</v>
      </c>
      <c r="F42" s="125">
        <f>SUM(F44:F44)</f>
        <v>16000000</v>
      </c>
      <c r="G42" s="125">
        <f>SUM(G44:G44)</f>
        <v>16000000</v>
      </c>
    </row>
    <row r="43" spans="1:7" ht="30" x14ac:dyDescent="0.25">
      <c r="A43" s="74" t="s">
        <v>240</v>
      </c>
      <c r="B43" s="75" t="s">
        <v>241</v>
      </c>
      <c r="C43" s="125">
        <v>49221.71</v>
      </c>
      <c r="D43" s="125"/>
      <c r="E43" s="125"/>
      <c r="F43" s="125"/>
      <c r="G43" s="125"/>
    </row>
    <row r="44" spans="1:7" ht="15" customHeight="1" x14ac:dyDescent="0.25">
      <c r="A44" s="74">
        <v>19010000</v>
      </c>
      <c r="B44" s="75" t="s">
        <v>86</v>
      </c>
      <c r="C44" s="126">
        <v>16458475</v>
      </c>
      <c r="D44" s="126">
        <v>14500000</v>
      </c>
      <c r="E44" s="126">
        <v>16000000</v>
      </c>
      <c r="F44" s="126">
        <v>16000000</v>
      </c>
      <c r="G44" s="126">
        <v>16000000</v>
      </c>
    </row>
    <row r="45" spans="1:7" x14ac:dyDescent="0.25">
      <c r="A45" s="74" t="s">
        <v>242</v>
      </c>
      <c r="B45" s="75" t="s">
        <v>243</v>
      </c>
      <c r="C45" s="126">
        <v>25</v>
      </c>
      <c r="D45" s="126"/>
      <c r="E45" s="126"/>
      <c r="F45" s="126"/>
      <c r="G45" s="126"/>
    </row>
    <row r="46" spans="1:7" ht="15" customHeight="1" x14ac:dyDescent="0.25">
      <c r="A46" s="73">
        <v>20000000</v>
      </c>
      <c r="B46" s="71" t="s">
        <v>99</v>
      </c>
      <c r="C46" s="125">
        <f>SUM(C47:C51)</f>
        <v>443203629</v>
      </c>
      <c r="D46" s="125">
        <f>SUM(D47:D51)</f>
        <v>356027800</v>
      </c>
      <c r="E46" s="125">
        <f>SUM(E47:E51)</f>
        <v>257855252</v>
      </c>
      <c r="F46" s="125">
        <f>SUM(F47:F51)</f>
        <v>276605183</v>
      </c>
      <c r="G46" s="125">
        <f>SUM(G47:G51)</f>
        <v>292934441</v>
      </c>
    </row>
    <row r="47" spans="1:7" ht="15" customHeight="1" x14ac:dyDescent="0.25">
      <c r="A47" s="74">
        <v>24060000</v>
      </c>
      <c r="B47" s="75" t="s">
        <v>81</v>
      </c>
      <c r="C47" s="126">
        <v>230189</v>
      </c>
      <c r="D47" s="126"/>
      <c r="E47" s="126"/>
      <c r="F47" s="126"/>
      <c r="G47" s="126"/>
    </row>
    <row r="48" spans="1:7" x14ac:dyDescent="0.25">
      <c r="A48" s="74">
        <v>24110000</v>
      </c>
      <c r="B48" s="75" t="s">
        <v>87</v>
      </c>
      <c r="C48" s="126">
        <v>913308</v>
      </c>
      <c r="D48" s="126">
        <v>500100</v>
      </c>
      <c r="E48" s="126">
        <v>1000100</v>
      </c>
      <c r="F48" s="126">
        <v>1000100</v>
      </c>
      <c r="G48" s="126">
        <v>1000100</v>
      </c>
    </row>
    <row r="49" spans="1:11" ht="30" x14ac:dyDescent="0.25">
      <c r="A49" s="74">
        <v>24170000</v>
      </c>
      <c r="B49" s="75" t="s">
        <v>88</v>
      </c>
      <c r="C49" s="126">
        <v>85819131</v>
      </c>
      <c r="D49" s="126">
        <v>120000000</v>
      </c>
      <c r="E49" s="126"/>
      <c r="F49" s="126"/>
      <c r="G49" s="126"/>
    </row>
    <row r="50" spans="1:11" ht="30" x14ac:dyDescent="0.25">
      <c r="A50" s="74">
        <v>25010000</v>
      </c>
      <c r="B50" s="75" t="s">
        <v>244</v>
      </c>
      <c r="C50" s="126">
        <v>221233274</v>
      </c>
      <c r="D50" s="126">
        <v>235527700</v>
      </c>
      <c r="E50" s="126">
        <v>256855152</v>
      </c>
      <c r="F50" s="126">
        <v>275605083</v>
      </c>
      <c r="G50" s="126">
        <v>291934341</v>
      </c>
    </row>
    <row r="51" spans="1:11" x14ac:dyDescent="0.25">
      <c r="A51" s="74">
        <v>25020000</v>
      </c>
      <c r="B51" s="75" t="s">
        <v>89</v>
      </c>
      <c r="C51" s="126">
        <v>135007727</v>
      </c>
      <c r="D51" s="216"/>
      <c r="E51" s="126"/>
      <c r="F51" s="126"/>
      <c r="G51" s="126"/>
    </row>
    <row r="52" spans="1:11" ht="15" customHeight="1" x14ac:dyDescent="0.25">
      <c r="A52" s="73">
        <v>30000000</v>
      </c>
      <c r="B52" s="71" t="s">
        <v>100</v>
      </c>
      <c r="C52" s="125">
        <f>SUM(C53:C54)</f>
        <v>259043077.5</v>
      </c>
      <c r="D52" s="125">
        <f>SUM(D53:D54)</f>
        <v>320000000</v>
      </c>
      <c r="E52" s="125">
        <f t="shared" ref="E52:G52" si="2">SUM(E53:E54)</f>
        <v>180000000</v>
      </c>
      <c r="F52" s="125">
        <f t="shared" si="2"/>
        <v>170000000</v>
      </c>
      <c r="G52" s="125">
        <f t="shared" si="2"/>
        <v>160000000</v>
      </c>
    </row>
    <row r="53" spans="1:11" ht="45" x14ac:dyDescent="0.25">
      <c r="A53" s="74">
        <v>31030000</v>
      </c>
      <c r="B53" s="75" t="s">
        <v>90</v>
      </c>
      <c r="C53" s="126">
        <v>31611885.5</v>
      </c>
      <c r="D53" s="126">
        <v>30000000</v>
      </c>
      <c r="E53" s="126">
        <v>30000000</v>
      </c>
      <c r="F53" s="126">
        <v>20000000</v>
      </c>
      <c r="G53" s="126">
        <v>10000000</v>
      </c>
      <c r="J53" s="89"/>
    </row>
    <row r="54" spans="1:11" ht="15" customHeight="1" x14ac:dyDescent="0.25">
      <c r="A54" s="74">
        <v>33010000</v>
      </c>
      <c r="B54" s="75" t="s">
        <v>91</v>
      </c>
      <c r="C54" s="126">
        <v>227431192</v>
      </c>
      <c r="D54" s="126">
        <v>290000000</v>
      </c>
      <c r="E54" s="126">
        <v>150000000</v>
      </c>
      <c r="F54" s="126">
        <v>150000000</v>
      </c>
      <c r="G54" s="126">
        <v>150000000</v>
      </c>
      <c r="J54" s="14"/>
      <c r="K54" s="14"/>
    </row>
    <row r="55" spans="1:11" ht="31.2" x14ac:dyDescent="0.25">
      <c r="A55" s="73">
        <v>42000000</v>
      </c>
      <c r="B55" s="71" t="s">
        <v>101</v>
      </c>
      <c r="C55" s="125">
        <f>C56+C57</f>
        <v>435856283.35000002</v>
      </c>
      <c r="D55" s="125">
        <f>D56+D57</f>
        <v>531131875</v>
      </c>
      <c r="E55" s="125">
        <f t="shared" ref="E55:G55" si="3">E56+E57</f>
        <v>352402200</v>
      </c>
      <c r="F55" s="125">
        <f t="shared" si="3"/>
        <v>0</v>
      </c>
      <c r="G55" s="125">
        <f t="shared" si="3"/>
        <v>0</v>
      </c>
      <c r="J55" s="14"/>
      <c r="K55" s="14"/>
    </row>
    <row r="56" spans="1:11" ht="15" customHeight="1" x14ac:dyDescent="0.25">
      <c r="A56" s="74">
        <v>42020500</v>
      </c>
      <c r="B56" s="75" t="s">
        <v>106</v>
      </c>
      <c r="C56" s="126">
        <v>381667314.60000002</v>
      </c>
      <c r="D56" s="126">
        <v>531131875</v>
      </c>
      <c r="E56" s="126">
        <v>352402200</v>
      </c>
      <c r="F56" s="126"/>
      <c r="G56" s="126"/>
      <c r="J56" s="1"/>
      <c r="K56" s="1"/>
    </row>
    <row r="57" spans="1:11" ht="30" x14ac:dyDescent="0.25">
      <c r="A57" s="74">
        <v>42030300</v>
      </c>
      <c r="B57" s="75" t="s">
        <v>107</v>
      </c>
      <c r="C57" s="126">
        <v>54188968.75</v>
      </c>
      <c r="D57" s="126"/>
      <c r="E57" s="126"/>
      <c r="F57" s="126"/>
      <c r="G57" s="126"/>
    </row>
    <row r="58" spans="1:11" s="88" customFormat="1" ht="15" customHeight="1" x14ac:dyDescent="0.3">
      <c r="A58" s="206" t="s">
        <v>9</v>
      </c>
      <c r="B58" s="71" t="s">
        <v>18</v>
      </c>
      <c r="C58" s="72">
        <f>C59+C60</f>
        <v>18995565741.18</v>
      </c>
      <c r="D58" s="72">
        <f>D59+D60</f>
        <v>21303644159</v>
      </c>
      <c r="E58" s="72">
        <f t="shared" ref="E58:G58" si="4">E59+E60</f>
        <v>23535900152</v>
      </c>
      <c r="F58" s="72">
        <f t="shared" si="4"/>
        <v>25672512358</v>
      </c>
      <c r="G58" s="72">
        <f t="shared" si="4"/>
        <v>28556217681</v>
      </c>
      <c r="K58" s="129"/>
    </row>
    <row r="59" spans="1:11" s="88" customFormat="1" ht="15" customHeight="1" x14ac:dyDescent="0.3">
      <c r="A59" s="206" t="s">
        <v>9</v>
      </c>
      <c r="B59" s="71" t="s">
        <v>15</v>
      </c>
      <c r="C59" s="72">
        <f>C13</f>
        <v>17840955029.619999</v>
      </c>
      <c r="D59" s="72">
        <f>D13</f>
        <v>20081984484</v>
      </c>
      <c r="E59" s="72">
        <f>E13</f>
        <v>22729642700</v>
      </c>
      <c r="F59" s="72">
        <f>F13</f>
        <v>25209907175</v>
      </c>
      <c r="G59" s="72">
        <f>G13</f>
        <v>28087283240</v>
      </c>
      <c r="K59" s="129"/>
    </row>
    <row r="60" spans="1:11" s="88" customFormat="1" ht="15" customHeight="1" x14ac:dyDescent="0.3">
      <c r="A60" s="206" t="s">
        <v>9</v>
      </c>
      <c r="B60" s="71" t="s">
        <v>16</v>
      </c>
      <c r="C60" s="72">
        <f>C41</f>
        <v>1154610711.5599999</v>
      </c>
      <c r="D60" s="72">
        <f>D41</f>
        <v>1221659675</v>
      </c>
      <c r="E60" s="72">
        <f>E41</f>
        <v>806257452</v>
      </c>
      <c r="F60" s="72">
        <f>F41</f>
        <v>462605183</v>
      </c>
      <c r="G60" s="72">
        <f>G41</f>
        <v>468934441</v>
      </c>
      <c r="K60" s="129"/>
    </row>
    <row r="61" spans="1:11" s="88" customFormat="1" ht="15" customHeight="1" x14ac:dyDescent="0.3">
      <c r="A61" s="241" t="s">
        <v>102</v>
      </c>
      <c r="B61" s="241"/>
      <c r="C61" s="241"/>
      <c r="D61" s="241"/>
      <c r="E61" s="241"/>
      <c r="F61" s="241"/>
      <c r="G61" s="241"/>
    </row>
    <row r="62" spans="1:11" s="88" customFormat="1" ht="15" customHeight="1" x14ac:dyDescent="0.3">
      <c r="A62" s="206" t="s">
        <v>9</v>
      </c>
      <c r="B62" s="71" t="s">
        <v>59</v>
      </c>
      <c r="C62" s="72">
        <f>C63+C64</f>
        <v>2077117944.8</v>
      </c>
      <c r="D62" s="72">
        <f t="shared" ref="D62:G62" si="5">D63+D64</f>
        <v>2211077300</v>
      </c>
      <c r="E62" s="72">
        <f t="shared" si="5"/>
        <v>3430383760</v>
      </c>
      <c r="F62" s="72">
        <f t="shared" si="5"/>
        <v>3728827150</v>
      </c>
      <c r="G62" s="72">
        <f t="shared" si="5"/>
        <v>3993573890</v>
      </c>
    </row>
    <row r="63" spans="1:11" s="88" customFormat="1" ht="15" customHeight="1" x14ac:dyDescent="0.3">
      <c r="A63" s="78">
        <v>41020000</v>
      </c>
      <c r="B63" s="75" t="s">
        <v>245</v>
      </c>
      <c r="C63" s="76"/>
      <c r="D63" s="76">
        <v>85334200</v>
      </c>
      <c r="E63" s="76"/>
      <c r="F63" s="76"/>
      <c r="G63" s="76"/>
    </row>
    <row r="64" spans="1:11" s="88" customFormat="1" ht="15" customHeight="1" x14ac:dyDescent="0.3">
      <c r="A64" s="78">
        <v>41030000</v>
      </c>
      <c r="B64" s="75" t="s">
        <v>246</v>
      </c>
      <c r="C64" s="76">
        <v>2077117944.8</v>
      </c>
      <c r="D64" s="76">
        <v>2125743100</v>
      </c>
      <c r="E64" s="76">
        <v>3430383760</v>
      </c>
      <c r="F64" s="76">
        <v>3728827150</v>
      </c>
      <c r="G64" s="76">
        <v>3993573890</v>
      </c>
    </row>
    <row r="65" spans="1:7" s="88" customFormat="1" ht="15" customHeight="1" x14ac:dyDescent="0.3">
      <c r="A65" s="206" t="s">
        <v>9</v>
      </c>
      <c r="B65" s="71" t="s">
        <v>60</v>
      </c>
      <c r="C65" s="72">
        <f>C66+C67</f>
        <v>110850652.95</v>
      </c>
      <c r="D65" s="72">
        <f t="shared" ref="D65:G65" si="6">D66+D67</f>
        <v>157512987</v>
      </c>
      <c r="E65" s="72">
        <f t="shared" si="6"/>
        <v>0</v>
      </c>
      <c r="F65" s="72">
        <f t="shared" si="6"/>
        <v>0</v>
      </c>
      <c r="G65" s="72">
        <f t="shared" si="6"/>
        <v>0</v>
      </c>
    </row>
    <row r="66" spans="1:7" s="88" customFormat="1" ht="15" customHeight="1" x14ac:dyDescent="0.3">
      <c r="A66" s="78">
        <v>41020000</v>
      </c>
      <c r="B66" s="75" t="s">
        <v>245</v>
      </c>
      <c r="C66" s="76"/>
      <c r="D66" s="76"/>
      <c r="E66" s="76"/>
      <c r="F66" s="76"/>
      <c r="G66" s="76"/>
    </row>
    <row r="67" spans="1:7" x14ac:dyDescent="0.25">
      <c r="A67" s="74">
        <v>41030000</v>
      </c>
      <c r="B67" s="75" t="s">
        <v>246</v>
      </c>
      <c r="C67" s="76">
        <v>110850652.95</v>
      </c>
      <c r="D67" s="76">
        <f>163512987-6000000</f>
        <v>157512987</v>
      </c>
      <c r="E67" s="76"/>
      <c r="F67" s="76"/>
      <c r="G67" s="76"/>
    </row>
    <row r="68" spans="1:7" s="88" customFormat="1" ht="15" customHeight="1" x14ac:dyDescent="0.3">
      <c r="A68" s="206" t="s">
        <v>9</v>
      </c>
      <c r="B68" s="71" t="s">
        <v>20</v>
      </c>
      <c r="C68" s="72">
        <f>C69+C70</f>
        <v>2187968597.75</v>
      </c>
      <c r="D68" s="72">
        <f t="shared" ref="D68:G68" si="7">D69+D70</f>
        <v>2368590287</v>
      </c>
      <c r="E68" s="72">
        <f t="shared" si="7"/>
        <v>3430383760</v>
      </c>
      <c r="F68" s="72">
        <f t="shared" si="7"/>
        <v>3728827150</v>
      </c>
      <c r="G68" s="72">
        <f t="shared" si="7"/>
        <v>3993573890</v>
      </c>
    </row>
    <row r="69" spans="1:7" s="88" customFormat="1" ht="15" customHeight="1" x14ac:dyDescent="0.3">
      <c r="A69" s="206" t="s">
        <v>9</v>
      </c>
      <c r="B69" s="71" t="s">
        <v>15</v>
      </c>
      <c r="C69" s="72">
        <f>C62</f>
        <v>2077117944.8</v>
      </c>
      <c r="D69" s="72">
        <f t="shared" ref="D69:G69" si="8">D62</f>
        <v>2211077300</v>
      </c>
      <c r="E69" s="72">
        <f t="shared" si="8"/>
        <v>3430383760</v>
      </c>
      <c r="F69" s="72">
        <f t="shared" si="8"/>
        <v>3728827150</v>
      </c>
      <c r="G69" s="72">
        <f t="shared" si="8"/>
        <v>3993573890</v>
      </c>
    </row>
    <row r="70" spans="1:7" s="88" customFormat="1" ht="15" customHeight="1" x14ac:dyDescent="0.3">
      <c r="A70" s="206" t="s">
        <v>9</v>
      </c>
      <c r="B70" s="71" t="s">
        <v>16</v>
      </c>
      <c r="C70" s="72">
        <f>C65</f>
        <v>110850652.95</v>
      </c>
      <c r="D70" s="72">
        <f t="shared" ref="D70:G70" si="9">D65</f>
        <v>157512987</v>
      </c>
      <c r="E70" s="72">
        <f t="shared" si="9"/>
        <v>0</v>
      </c>
      <c r="F70" s="72">
        <f t="shared" si="9"/>
        <v>0</v>
      </c>
      <c r="G70" s="72">
        <f t="shared" si="9"/>
        <v>0</v>
      </c>
    </row>
    <row r="71" spans="1:7" s="88" customFormat="1" ht="15" customHeight="1" x14ac:dyDescent="0.3">
      <c r="A71" s="241" t="s">
        <v>103</v>
      </c>
      <c r="B71" s="241"/>
      <c r="C71" s="241"/>
      <c r="D71" s="241"/>
      <c r="E71" s="241"/>
      <c r="F71" s="241"/>
      <c r="G71" s="241"/>
    </row>
    <row r="72" spans="1:7" s="88" customFormat="1" ht="15" customHeight="1" x14ac:dyDescent="0.3">
      <c r="A72" s="206" t="s">
        <v>9</v>
      </c>
      <c r="B72" s="71" t="s">
        <v>59</v>
      </c>
      <c r="C72" s="72">
        <f>C73+C74</f>
        <v>367790074.85000002</v>
      </c>
      <c r="D72" s="72">
        <f t="shared" ref="D72:G72" si="10">D73+D74</f>
        <v>235542444</v>
      </c>
      <c r="E72" s="72">
        <f t="shared" si="10"/>
        <v>190000</v>
      </c>
      <c r="F72" s="72">
        <f t="shared" si="10"/>
        <v>180000</v>
      </c>
      <c r="G72" s="72">
        <f t="shared" si="10"/>
        <v>190000</v>
      </c>
    </row>
    <row r="73" spans="1:7" s="88" customFormat="1" ht="15" customHeight="1" x14ac:dyDescent="0.3">
      <c r="A73" s="78">
        <v>41040000</v>
      </c>
      <c r="B73" s="75" t="s">
        <v>247</v>
      </c>
      <c r="C73" s="76">
        <v>6698623</v>
      </c>
      <c r="D73" s="76"/>
      <c r="E73" s="76"/>
      <c r="F73" s="76"/>
      <c r="G73" s="76"/>
    </row>
    <row r="74" spans="1:7" s="88" customFormat="1" ht="15" customHeight="1" x14ac:dyDescent="0.3">
      <c r="A74" s="78">
        <v>41050000</v>
      </c>
      <c r="B74" s="75" t="s">
        <v>248</v>
      </c>
      <c r="C74" s="76">
        <v>361091451.85000002</v>
      </c>
      <c r="D74" s="76">
        <v>235542444</v>
      </c>
      <c r="E74" s="76">
        <v>190000</v>
      </c>
      <c r="F74" s="76">
        <v>180000</v>
      </c>
      <c r="G74" s="76">
        <v>190000</v>
      </c>
    </row>
    <row r="75" spans="1:7" s="88" customFormat="1" ht="15" customHeight="1" x14ac:dyDescent="0.3">
      <c r="A75" s="206" t="s">
        <v>9</v>
      </c>
      <c r="B75" s="71" t="s">
        <v>60</v>
      </c>
      <c r="C75" s="72">
        <f>C76+C77</f>
        <v>7076882.5199999996</v>
      </c>
      <c r="D75" s="72">
        <f t="shared" ref="D75:G75" si="11">D76+D77</f>
        <v>0</v>
      </c>
      <c r="E75" s="72">
        <f t="shared" si="11"/>
        <v>0</v>
      </c>
      <c r="F75" s="72">
        <f t="shared" si="11"/>
        <v>0</v>
      </c>
      <c r="G75" s="72">
        <f t="shared" si="11"/>
        <v>0</v>
      </c>
    </row>
    <row r="76" spans="1:7" s="88" customFormat="1" ht="15" customHeight="1" x14ac:dyDescent="0.3">
      <c r="A76" s="78">
        <v>41040000</v>
      </c>
      <c r="B76" s="75" t="s">
        <v>247</v>
      </c>
      <c r="C76" s="76"/>
      <c r="D76" s="76"/>
      <c r="E76" s="76"/>
      <c r="F76" s="76"/>
      <c r="G76" s="76"/>
    </row>
    <row r="77" spans="1:7" s="88" customFormat="1" ht="15" customHeight="1" x14ac:dyDescent="0.3">
      <c r="A77" s="78">
        <v>41050000</v>
      </c>
      <c r="B77" s="75" t="s">
        <v>248</v>
      </c>
      <c r="C77" s="76">
        <v>7076882.5199999996</v>
      </c>
      <c r="D77" s="76"/>
      <c r="E77" s="76"/>
      <c r="F77" s="76"/>
      <c r="G77" s="76"/>
    </row>
    <row r="78" spans="1:7" s="88" customFormat="1" ht="15" customHeight="1" x14ac:dyDescent="0.3">
      <c r="A78" s="206" t="s">
        <v>9</v>
      </c>
      <c r="B78" s="71" t="s">
        <v>104</v>
      </c>
      <c r="C78" s="72">
        <f>C79+C80</f>
        <v>374866957.37</v>
      </c>
      <c r="D78" s="72">
        <f t="shared" ref="D78:G78" si="12">D79+D80</f>
        <v>235542444</v>
      </c>
      <c r="E78" s="72">
        <f t="shared" si="12"/>
        <v>190000</v>
      </c>
      <c r="F78" s="72">
        <f t="shared" si="12"/>
        <v>180000</v>
      </c>
      <c r="G78" s="72">
        <f t="shared" si="12"/>
        <v>190000</v>
      </c>
    </row>
    <row r="79" spans="1:7" s="88" customFormat="1" ht="15" customHeight="1" x14ac:dyDescent="0.3">
      <c r="A79" s="206" t="s">
        <v>9</v>
      </c>
      <c r="B79" s="71" t="s">
        <v>15</v>
      </c>
      <c r="C79" s="72">
        <f>C72</f>
        <v>367790074.85000002</v>
      </c>
      <c r="D79" s="72">
        <f t="shared" ref="D79:G79" si="13">D72</f>
        <v>235542444</v>
      </c>
      <c r="E79" s="72">
        <f t="shared" si="13"/>
        <v>190000</v>
      </c>
      <c r="F79" s="72">
        <f t="shared" si="13"/>
        <v>180000</v>
      </c>
      <c r="G79" s="72">
        <f t="shared" si="13"/>
        <v>190000</v>
      </c>
    </row>
    <row r="80" spans="1:7" s="88" customFormat="1" ht="15" customHeight="1" x14ac:dyDescent="0.3">
      <c r="A80" s="206" t="s">
        <v>9</v>
      </c>
      <c r="B80" s="71" t="s">
        <v>16</v>
      </c>
      <c r="C80" s="72">
        <f>C75</f>
        <v>7076882.5199999996</v>
      </c>
      <c r="D80" s="72">
        <f t="shared" ref="D80:G80" si="14">D75</f>
        <v>0</v>
      </c>
      <c r="E80" s="72">
        <f t="shared" si="14"/>
        <v>0</v>
      </c>
      <c r="F80" s="72">
        <f t="shared" si="14"/>
        <v>0</v>
      </c>
      <c r="G80" s="72">
        <f t="shared" si="14"/>
        <v>0</v>
      </c>
    </row>
    <row r="81" spans="1:11" s="88" customFormat="1" ht="15" customHeight="1" x14ac:dyDescent="0.3">
      <c r="A81" s="206" t="s">
        <v>9</v>
      </c>
      <c r="B81" s="71" t="s">
        <v>105</v>
      </c>
      <c r="C81" s="72">
        <f>C58+C68+C78</f>
        <v>21558401296.299999</v>
      </c>
      <c r="D81" s="72">
        <f>D58+D68+D78</f>
        <v>23907776890</v>
      </c>
      <c r="E81" s="72">
        <f>E58+E68+E78</f>
        <v>26966473912</v>
      </c>
      <c r="F81" s="72">
        <f>F58+F68+F78</f>
        <v>29401519508</v>
      </c>
      <c r="G81" s="72">
        <f>G58+G68+G78</f>
        <v>32549981571</v>
      </c>
      <c r="K81" s="129"/>
    </row>
    <row r="82" spans="1:11" s="175" customFormat="1" ht="15" customHeight="1" x14ac:dyDescent="0.3">
      <c r="A82" s="172" t="s">
        <v>9</v>
      </c>
      <c r="B82" s="173" t="s">
        <v>15</v>
      </c>
      <c r="C82" s="174">
        <f>C59+C69+C79</f>
        <v>20285863049.269997</v>
      </c>
      <c r="D82" s="174">
        <f t="shared" ref="D82:G82" si="15">D59+D69+D79</f>
        <v>22528604228</v>
      </c>
      <c r="E82" s="174">
        <f>E59+E69+E79</f>
        <v>26160216460</v>
      </c>
      <c r="F82" s="174">
        <f t="shared" si="15"/>
        <v>28938914325</v>
      </c>
      <c r="G82" s="174">
        <f t="shared" si="15"/>
        <v>32081047130</v>
      </c>
    </row>
    <row r="83" spans="1:11" s="175" customFormat="1" ht="15" customHeight="1" x14ac:dyDescent="0.3">
      <c r="A83" s="172" t="s">
        <v>9</v>
      </c>
      <c r="B83" s="173" t="s">
        <v>16</v>
      </c>
      <c r="C83" s="174">
        <f>C60+C70+C80</f>
        <v>1272538247.03</v>
      </c>
      <c r="D83" s="174">
        <f>D60+D70+D80</f>
        <v>1379172662</v>
      </c>
      <c r="E83" s="174">
        <f t="shared" ref="E83:F83" si="16">E60+E70+E80</f>
        <v>806257452</v>
      </c>
      <c r="F83" s="174">
        <f t="shared" si="16"/>
        <v>462605183</v>
      </c>
      <c r="G83" s="174">
        <f>G60+G70+G80</f>
        <v>468934441</v>
      </c>
    </row>
    <row r="85" spans="1:11" ht="58.8" customHeight="1" x14ac:dyDescent="0.25"/>
    <row r="86" spans="1:11" ht="17.399999999999999" x14ac:dyDescent="0.25">
      <c r="A86" s="33" t="s">
        <v>167</v>
      </c>
      <c r="B86" s="34"/>
      <c r="C86" s="35"/>
      <c r="D86" s="36"/>
      <c r="E86" s="36" t="s">
        <v>168</v>
      </c>
    </row>
    <row r="87" spans="1:11" ht="34.799999999999997" customHeight="1" x14ac:dyDescent="0.3">
      <c r="A87" s="36"/>
      <c r="B87" s="34"/>
      <c r="C87" s="34"/>
      <c r="D87" s="37"/>
      <c r="E87" s="37"/>
    </row>
    <row r="88" spans="1:11" ht="17.399999999999999" x14ac:dyDescent="0.3">
      <c r="A88" s="38" t="s">
        <v>169</v>
      </c>
      <c r="B88" s="38"/>
      <c r="C88" s="38"/>
      <c r="D88" s="39"/>
      <c r="E88" s="39"/>
    </row>
    <row r="89" spans="1:11" ht="19.8" customHeight="1" x14ac:dyDescent="0.3">
      <c r="A89" s="38" t="s">
        <v>170</v>
      </c>
      <c r="B89" s="38"/>
      <c r="C89" s="38"/>
      <c r="D89" s="39"/>
      <c r="E89" s="39" t="s">
        <v>171</v>
      </c>
    </row>
    <row r="90" spans="1:11" ht="45.75" customHeight="1" x14ac:dyDescent="0.3">
      <c r="A90" s="38"/>
      <c r="B90" s="38"/>
      <c r="C90" s="38"/>
      <c r="D90" s="39"/>
      <c r="E90" s="39"/>
    </row>
    <row r="91" spans="1:11" ht="18" customHeight="1" x14ac:dyDescent="0.3">
      <c r="A91" s="40" t="s">
        <v>172</v>
      </c>
      <c r="B91" s="40"/>
      <c r="C91" s="40"/>
      <c r="D91" s="38"/>
      <c r="E91" s="38"/>
    </row>
    <row r="92" spans="1:11" ht="17.399999999999999" x14ac:dyDescent="0.3">
      <c r="A92" s="36" t="s">
        <v>173</v>
      </c>
      <c r="B92" s="36"/>
      <c r="C92" s="36"/>
      <c r="D92" s="39"/>
      <c r="E92" s="39" t="s">
        <v>174</v>
      </c>
    </row>
    <row r="95" spans="1:11" x14ac:dyDescent="0.25">
      <c r="C95" s="90"/>
      <c r="D95" s="90"/>
      <c r="E95" s="90"/>
      <c r="F95" s="90"/>
      <c r="G95" s="90"/>
    </row>
    <row r="96" spans="1:11" x14ac:dyDescent="0.25">
      <c r="C96" s="90"/>
      <c r="D96" s="90"/>
      <c r="E96" s="90"/>
      <c r="F96" s="90"/>
      <c r="G96" s="90"/>
    </row>
    <row r="97" spans="3:7" x14ac:dyDescent="0.25">
      <c r="C97" s="90"/>
      <c r="D97" s="90"/>
      <c r="E97" s="90"/>
      <c r="F97" s="90"/>
      <c r="G97" s="90"/>
    </row>
    <row r="98" spans="3:7" x14ac:dyDescent="0.25">
      <c r="C98" s="91"/>
      <c r="D98" s="91"/>
      <c r="E98" s="91"/>
      <c r="F98" s="91"/>
      <c r="G98" s="91"/>
    </row>
    <row r="99" spans="3:7" x14ac:dyDescent="0.25">
      <c r="C99" s="91"/>
      <c r="D99" s="91"/>
      <c r="E99" s="91"/>
      <c r="F99" s="91"/>
      <c r="G99" s="91"/>
    </row>
    <row r="100" spans="3:7" x14ac:dyDescent="0.25">
      <c r="C100" s="91"/>
      <c r="D100" s="91"/>
      <c r="E100" s="91"/>
      <c r="F100" s="91"/>
      <c r="G100" s="91"/>
    </row>
  </sheetData>
  <mergeCells count="8">
    <mergeCell ref="A12:G12"/>
    <mergeCell ref="A61:G61"/>
    <mergeCell ref="A71:G71"/>
    <mergeCell ref="F1:G1"/>
    <mergeCell ref="F2:G2"/>
    <mergeCell ref="A7:B7"/>
    <mergeCell ref="A8:B8"/>
    <mergeCell ref="B5:F5"/>
  </mergeCells>
  <printOptions horizontalCentered="1"/>
  <pageMargins left="0.39370078740157483" right="0.39370078740157483" top="0.98425196850393704" bottom="0.39370078740157483" header="0.39370078740157483" footer="0.39370078740157483"/>
  <pageSetup paperSize="9" scale="70" fitToWidth="0" fitToHeight="0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zoomScale="86" zoomScaleNormal="86" zoomScaleSheetLayoutView="100" workbookViewId="0"/>
  </sheetViews>
  <sheetFormatPr defaultColWidth="9.109375" defaultRowHeight="15" x14ac:dyDescent="0.25"/>
  <cols>
    <col min="1" max="1" width="14.6640625" style="46" customWidth="1"/>
    <col min="2" max="2" width="65.88671875" style="46" customWidth="1"/>
    <col min="3" max="3" width="29.88671875" style="46" customWidth="1"/>
    <col min="4" max="4" width="27.33203125" style="46" customWidth="1"/>
    <col min="5" max="5" width="25.44140625" style="46" customWidth="1"/>
    <col min="6" max="6" width="23.5546875" style="46" customWidth="1"/>
    <col min="7" max="7" width="22" style="46" customWidth="1"/>
    <col min="8" max="9" width="9.109375" style="46"/>
    <col min="10" max="12" width="16.88671875" style="46" bestFit="1" customWidth="1"/>
    <col min="13" max="16384" width="9.109375" style="46"/>
  </cols>
  <sheetData>
    <row r="1" spans="1:11" ht="19.8" customHeight="1" x14ac:dyDescent="0.25">
      <c r="F1" s="228" t="s">
        <v>401</v>
      </c>
      <c r="G1" s="228"/>
    </row>
    <row r="2" spans="1:11" ht="54.6" customHeight="1" x14ac:dyDescent="0.25">
      <c r="F2" s="243" t="s">
        <v>249</v>
      </c>
      <c r="G2" s="243"/>
      <c r="K2" s="46" t="s">
        <v>260</v>
      </c>
    </row>
    <row r="3" spans="1:11" ht="28.2" customHeight="1" x14ac:dyDescent="0.25">
      <c r="F3" s="188"/>
    </row>
    <row r="4" spans="1:11" ht="17.399999999999999" x14ac:dyDescent="0.3">
      <c r="A4" s="245" t="s">
        <v>180</v>
      </c>
      <c r="B4" s="245"/>
      <c r="C4" s="245"/>
      <c r="D4" s="245"/>
      <c r="E4" s="245"/>
      <c r="F4" s="245"/>
      <c r="G4" s="245"/>
    </row>
    <row r="5" spans="1:11" ht="14.4" customHeight="1" x14ac:dyDescent="0.3">
      <c r="A5" s="189"/>
      <c r="B5" s="189"/>
      <c r="C5" s="189"/>
      <c r="D5" s="189"/>
      <c r="E5" s="189"/>
      <c r="F5" s="189"/>
      <c r="G5" s="189"/>
    </row>
    <row r="6" spans="1:11" x14ac:dyDescent="0.25">
      <c r="A6" s="235">
        <v>1356300000</v>
      </c>
      <c r="B6" s="235"/>
    </row>
    <row r="7" spans="1:11" ht="15" customHeight="1" x14ac:dyDescent="0.25">
      <c r="A7" s="236" t="s">
        <v>0</v>
      </c>
      <c r="B7" s="236"/>
    </row>
    <row r="8" spans="1:11" ht="15.6" x14ac:dyDescent="0.25">
      <c r="A8" s="190"/>
      <c r="G8" s="31" t="s">
        <v>11</v>
      </c>
    </row>
    <row r="9" spans="1:11" x14ac:dyDescent="0.25">
      <c r="A9" s="248" t="s">
        <v>12</v>
      </c>
      <c r="B9" s="248" t="s">
        <v>13</v>
      </c>
      <c r="C9" s="247" t="s">
        <v>250</v>
      </c>
      <c r="D9" s="247" t="s">
        <v>251</v>
      </c>
      <c r="E9" s="247" t="s">
        <v>95</v>
      </c>
      <c r="F9" s="247" t="s">
        <v>96</v>
      </c>
      <c r="G9" s="247" t="s">
        <v>252</v>
      </c>
    </row>
    <row r="10" spans="1:11" ht="19.95" customHeight="1" x14ac:dyDescent="0.25">
      <c r="A10" s="248"/>
      <c r="B10" s="248"/>
      <c r="C10" s="247"/>
      <c r="D10" s="247"/>
      <c r="E10" s="247"/>
      <c r="F10" s="247"/>
      <c r="G10" s="247"/>
    </row>
    <row r="11" spans="1:11" x14ac:dyDescent="0.25">
      <c r="A11" s="58">
        <v>1</v>
      </c>
      <c r="B11" s="58">
        <v>2</v>
      </c>
      <c r="C11" s="58">
        <v>3</v>
      </c>
      <c r="D11" s="58">
        <v>4</v>
      </c>
      <c r="E11" s="58">
        <v>5</v>
      </c>
      <c r="F11" s="58">
        <v>6</v>
      </c>
      <c r="G11" s="58">
        <v>7</v>
      </c>
    </row>
    <row r="12" spans="1:11" s="194" customFormat="1" ht="15.6" x14ac:dyDescent="0.3">
      <c r="A12" s="246" t="s">
        <v>110</v>
      </c>
      <c r="B12" s="246"/>
      <c r="C12" s="246"/>
      <c r="D12" s="246"/>
      <c r="E12" s="246"/>
      <c r="F12" s="246"/>
      <c r="G12" s="246"/>
    </row>
    <row r="13" spans="1:11" s="194" customFormat="1" ht="15.6" x14ac:dyDescent="0.3">
      <c r="A13" s="21">
        <v>200000</v>
      </c>
      <c r="B13" s="9" t="s">
        <v>14</v>
      </c>
      <c r="C13" s="121">
        <f>C14+C15</f>
        <v>272169888.38000011</v>
      </c>
      <c r="D13" s="121">
        <f t="shared" ref="D13:G13" si="0">D14+D15</f>
        <v>2663499007</v>
      </c>
      <c r="E13" s="121">
        <f t="shared" si="0"/>
        <v>437246153</v>
      </c>
      <c r="F13" s="121">
        <f t="shared" si="0"/>
        <v>-937801285</v>
      </c>
      <c r="G13" s="121">
        <f t="shared" si="0"/>
        <v>-1276033334</v>
      </c>
    </row>
    <row r="14" spans="1:11" s="194" customFormat="1" ht="15.6" x14ac:dyDescent="0.3">
      <c r="A14" s="21" t="s">
        <v>9</v>
      </c>
      <c r="B14" s="9" t="s">
        <v>15</v>
      </c>
      <c r="C14" s="121">
        <v>-3514233801.77</v>
      </c>
      <c r="D14" s="185">
        <v>-1651443595</v>
      </c>
      <c r="E14" s="121">
        <f>-1817626100+87435</f>
        <v>-1817538665</v>
      </c>
      <c r="F14" s="121">
        <f>-2751252000-48938</f>
        <v>-2751300938</v>
      </c>
      <c r="G14" s="121">
        <f>-4297394800-58693</f>
        <v>-4297453493</v>
      </c>
    </row>
    <row r="15" spans="1:11" s="194" customFormat="1" ht="15.6" x14ac:dyDescent="0.3">
      <c r="A15" s="21" t="s">
        <v>9</v>
      </c>
      <c r="B15" s="9" t="s">
        <v>16</v>
      </c>
      <c r="C15" s="121">
        <v>3786403690.1500001</v>
      </c>
      <c r="D15" s="185">
        <v>4314942602</v>
      </c>
      <c r="E15" s="121">
        <f>-562753847+-E14+1000000000</f>
        <v>2254784818</v>
      </c>
      <c r="F15" s="121">
        <f>-937801285+-F14</f>
        <v>1813499653</v>
      </c>
      <c r="G15" s="121">
        <f>-1276033334+-G14</f>
        <v>3021420159</v>
      </c>
    </row>
    <row r="16" spans="1:11" s="194" customFormat="1" ht="15.6" x14ac:dyDescent="0.3">
      <c r="A16" s="21">
        <v>300000</v>
      </c>
      <c r="B16" s="9" t="s">
        <v>17</v>
      </c>
      <c r="C16" s="121">
        <f>C17+C18</f>
        <v>79210418.600000024</v>
      </c>
      <c r="D16" s="121">
        <f t="shared" ref="D16:F16" si="1">D17+D18</f>
        <v>-83911150</v>
      </c>
      <c r="E16" s="121">
        <f t="shared" si="1"/>
        <v>-91196590</v>
      </c>
      <c r="F16" s="121">
        <f t="shared" si="1"/>
        <v>-190138113</v>
      </c>
      <c r="G16" s="121">
        <f>G17+G18</f>
        <v>-196334060</v>
      </c>
    </row>
    <row r="17" spans="1:7" s="194" customFormat="1" ht="15.6" x14ac:dyDescent="0.3">
      <c r="A17" s="21" t="s">
        <v>9</v>
      </c>
      <c r="B17" s="9" t="s">
        <v>15</v>
      </c>
      <c r="C17" s="121">
        <v>318018093.60000002</v>
      </c>
      <c r="D17" s="185">
        <f>175576850</f>
        <v>175576850</v>
      </c>
      <c r="E17" s="121">
        <f>-91196590</f>
        <v>-91196590</v>
      </c>
      <c r="F17" s="121">
        <f>-190138113</f>
        <v>-190138113</v>
      </c>
      <c r="G17" s="121">
        <f>-196334060</f>
        <v>-196334060</v>
      </c>
    </row>
    <row r="18" spans="1:7" s="194" customFormat="1" ht="15.6" x14ac:dyDescent="0.3">
      <c r="A18" s="21" t="s">
        <v>9</v>
      </c>
      <c r="B18" s="9" t="s">
        <v>16</v>
      </c>
      <c r="C18" s="121">
        <f>-238807675</f>
        <v>-238807675</v>
      </c>
      <c r="D18" s="121">
        <f>-259488000</f>
        <v>-259488000</v>
      </c>
      <c r="E18" s="121">
        <v>0</v>
      </c>
      <c r="F18" s="121">
        <v>0</v>
      </c>
      <c r="G18" s="121">
        <v>0</v>
      </c>
    </row>
    <row r="19" spans="1:7" s="194" customFormat="1" ht="15.6" x14ac:dyDescent="0.3">
      <c r="A19" s="209" t="s">
        <v>9</v>
      </c>
      <c r="B19" s="64" t="s">
        <v>40</v>
      </c>
      <c r="C19" s="119">
        <f>C20+C21</f>
        <v>351380306.98000002</v>
      </c>
      <c r="D19" s="119">
        <f t="shared" ref="D19:G19" si="2">D20+D21</f>
        <v>2579587857</v>
      </c>
      <c r="E19" s="119">
        <f t="shared" si="2"/>
        <v>346049563</v>
      </c>
      <c r="F19" s="119">
        <f t="shared" si="2"/>
        <v>-1127939398</v>
      </c>
      <c r="G19" s="119">
        <f t="shared" si="2"/>
        <v>-1472367394</v>
      </c>
    </row>
    <row r="20" spans="1:7" s="194" customFormat="1" ht="15.6" x14ac:dyDescent="0.3">
      <c r="A20" s="209" t="s">
        <v>9</v>
      </c>
      <c r="B20" s="64" t="s">
        <v>15</v>
      </c>
      <c r="C20" s="119">
        <f>C14+C17</f>
        <v>-3196215708.1700001</v>
      </c>
      <c r="D20" s="119">
        <f t="shared" ref="D20:G21" si="3">D14+D17</f>
        <v>-1475866745</v>
      </c>
      <c r="E20" s="119">
        <f t="shared" si="3"/>
        <v>-1908735255</v>
      </c>
      <c r="F20" s="119">
        <f t="shared" si="3"/>
        <v>-2941439051</v>
      </c>
      <c r="G20" s="119">
        <f t="shared" si="3"/>
        <v>-4493787553</v>
      </c>
    </row>
    <row r="21" spans="1:7" s="194" customFormat="1" ht="15.6" x14ac:dyDescent="0.3">
      <c r="A21" s="209" t="s">
        <v>9</v>
      </c>
      <c r="B21" s="64" t="s">
        <v>16</v>
      </c>
      <c r="C21" s="119">
        <f>C15+C18</f>
        <v>3547596015.1500001</v>
      </c>
      <c r="D21" s="119">
        <f t="shared" si="3"/>
        <v>4055454602</v>
      </c>
      <c r="E21" s="119">
        <f t="shared" si="3"/>
        <v>2254784818</v>
      </c>
      <c r="F21" s="119">
        <f t="shared" si="3"/>
        <v>1813499653</v>
      </c>
      <c r="G21" s="119">
        <f t="shared" si="3"/>
        <v>3021420159</v>
      </c>
    </row>
    <row r="22" spans="1:7" s="194" customFormat="1" ht="15.6" x14ac:dyDescent="0.3">
      <c r="A22" s="246" t="s">
        <v>111</v>
      </c>
      <c r="B22" s="246"/>
      <c r="C22" s="246"/>
      <c r="D22" s="246"/>
      <c r="E22" s="246"/>
      <c r="F22" s="246"/>
      <c r="G22" s="246"/>
    </row>
    <row r="23" spans="1:7" s="194" customFormat="1" ht="15.6" x14ac:dyDescent="0.3">
      <c r="A23" s="21">
        <v>400000</v>
      </c>
      <c r="B23" s="9" t="s">
        <v>19</v>
      </c>
      <c r="C23" s="121">
        <f>C24+C25</f>
        <v>318559783.15000004</v>
      </c>
      <c r="D23" s="121">
        <f t="shared" ref="D23:G23" si="4">D24+D25</f>
        <v>1979850164</v>
      </c>
      <c r="E23" s="121">
        <f t="shared" si="4"/>
        <v>346049563</v>
      </c>
      <c r="F23" s="121">
        <f t="shared" si="4"/>
        <v>-1127939398</v>
      </c>
      <c r="G23" s="121">
        <f t="shared" si="4"/>
        <v>-1472367394</v>
      </c>
    </row>
    <row r="24" spans="1:7" s="194" customFormat="1" ht="15.6" x14ac:dyDescent="0.3">
      <c r="A24" s="128" t="s">
        <v>9</v>
      </c>
      <c r="B24" s="9" t="s">
        <v>15</v>
      </c>
      <c r="C24" s="121">
        <v>318018093.60000002</v>
      </c>
      <c r="D24" s="121">
        <v>175576850</v>
      </c>
      <c r="E24" s="121">
        <f>-91196590</f>
        <v>-91196590</v>
      </c>
      <c r="F24" s="121">
        <f>-190138113</f>
        <v>-190138113</v>
      </c>
      <c r="G24" s="121">
        <f>-196334060</f>
        <v>-196334060</v>
      </c>
    </row>
    <row r="25" spans="1:7" s="194" customFormat="1" ht="15.6" x14ac:dyDescent="0.3">
      <c r="A25" s="128" t="s">
        <v>9</v>
      </c>
      <c r="B25" s="9" t="s">
        <v>16</v>
      </c>
      <c r="C25" s="121">
        <f>541689.55</f>
        <v>541689.55000000005</v>
      </c>
      <c r="D25" s="121">
        <f>-259488000+1804273314+259488000</f>
        <v>1804273314</v>
      </c>
      <c r="E25" s="121">
        <f>-562753847+1000000000</f>
        <v>437246153</v>
      </c>
      <c r="F25" s="121">
        <f>-937801285</f>
        <v>-937801285</v>
      </c>
      <c r="G25" s="121">
        <f>-1276033334</f>
        <v>-1276033334</v>
      </c>
    </row>
    <row r="26" spans="1:7" s="194" customFormat="1" ht="15.6" x14ac:dyDescent="0.3">
      <c r="A26" s="21">
        <v>600000</v>
      </c>
      <c r="B26" s="9" t="s">
        <v>382</v>
      </c>
      <c r="C26" s="121">
        <f>C27+C28</f>
        <v>32820523.829999924</v>
      </c>
      <c r="D26" s="121">
        <f t="shared" ref="D26:G26" si="5">D27+D28</f>
        <v>599737693</v>
      </c>
      <c r="E26" s="121">
        <f t="shared" si="5"/>
        <v>0</v>
      </c>
      <c r="F26" s="121">
        <f t="shared" si="5"/>
        <v>0</v>
      </c>
      <c r="G26" s="121">
        <f t="shared" si="5"/>
        <v>0</v>
      </c>
    </row>
    <row r="27" spans="1:7" s="194" customFormat="1" ht="15.6" x14ac:dyDescent="0.3">
      <c r="A27" s="128" t="s">
        <v>9</v>
      </c>
      <c r="B27" s="9" t="s">
        <v>15</v>
      </c>
      <c r="C27" s="121">
        <v>-3514233801.77</v>
      </c>
      <c r="D27" s="121">
        <v>-1651443595</v>
      </c>
      <c r="E27" s="121">
        <f>E14</f>
        <v>-1817538665</v>
      </c>
      <c r="F27" s="121">
        <f>F14</f>
        <v>-2751300938</v>
      </c>
      <c r="G27" s="121">
        <f>G14</f>
        <v>-4297453493</v>
      </c>
    </row>
    <row r="28" spans="1:7" s="194" customFormat="1" ht="15.6" x14ac:dyDescent="0.3">
      <c r="A28" s="128" t="s">
        <v>9</v>
      </c>
      <c r="B28" s="9" t="s">
        <v>16</v>
      </c>
      <c r="C28" s="121">
        <v>3547054325.5999999</v>
      </c>
      <c r="D28" s="185">
        <v>2251181288</v>
      </c>
      <c r="E28" s="121">
        <f>-E27</f>
        <v>1817538665</v>
      </c>
      <c r="F28" s="121">
        <f t="shared" ref="F28:G28" si="6">-F27</f>
        <v>2751300938</v>
      </c>
      <c r="G28" s="121">
        <f t="shared" si="6"/>
        <v>4297453493</v>
      </c>
    </row>
    <row r="29" spans="1:7" s="194" customFormat="1" ht="15.6" x14ac:dyDescent="0.3">
      <c r="A29" s="209" t="s">
        <v>9</v>
      </c>
      <c r="B29" s="64" t="s">
        <v>43</v>
      </c>
      <c r="C29" s="119">
        <f>C30+C31</f>
        <v>351380306.98000002</v>
      </c>
      <c r="D29" s="119">
        <f t="shared" ref="D29:G29" si="7">D30+D31</f>
        <v>2579587857</v>
      </c>
      <c r="E29" s="119">
        <f t="shared" si="7"/>
        <v>346049563</v>
      </c>
      <c r="F29" s="119">
        <f t="shared" si="7"/>
        <v>-1127939398</v>
      </c>
      <c r="G29" s="119">
        <f t="shared" si="7"/>
        <v>-1472367394</v>
      </c>
    </row>
    <row r="30" spans="1:7" s="194" customFormat="1" ht="15.6" x14ac:dyDescent="0.3">
      <c r="A30" s="209" t="s">
        <v>9</v>
      </c>
      <c r="B30" s="64" t="s">
        <v>15</v>
      </c>
      <c r="C30" s="119">
        <f t="shared" ref="C30:G31" si="8">C24+C27</f>
        <v>-3196215708.1700001</v>
      </c>
      <c r="D30" s="119">
        <f t="shared" si="8"/>
        <v>-1475866745</v>
      </c>
      <c r="E30" s="119">
        <f t="shared" si="8"/>
        <v>-1908735255</v>
      </c>
      <c r="F30" s="119">
        <f>F24+F27</f>
        <v>-2941439051</v>
      </c>
      <c r="G30" s="119">
        <f t="shared" si="8"/>
        <v>-4493787553</v>
      </c>
    </row>
    <row r="31" spans="1:7" s="194" customFormat="1" ht="15.6" x14ac:dyDescent="0.3">
      <c r="A31" s="209" t="s">
        <v>9</v>
      </c>
      <c r="B31" s="64" t="s">
        <v>16</v>
      </c>
      <c r="C31" s="119">
        <f t="shared" si="8"/>
        <v>3547596015.1500001</v>
      </c>
      <c r="D31" s="119">
        <f t="shared" si="8"/>
        <v>4055454602</v>
      </c>
      <c r="E31" s="119">
        <f t="shared" si="8"/>
        <v>2254784818</v>
      </c>
      <c r="F31" s="119">
        <f t="shared" si="8"/>
        <v>1813499653</v>
      </c>
      <c r="G31" s="119">
        <f t="shared" si="8"/>
        <v>3021420159</v>
      </c>
    </row>
    <row r="32" spans="1:7" x14ac:dyDescent="0.25">
      <c r="A32" s="191"/>
      <c r="D32" s="192"/>
    </row>
    <row r="33" spans="1:7" ht="68.400000000000006" customHeight="1" x14ac:dyDescent="0.25">
      <c r="A33" s="191"/>
      <c r="C33" s="193"/>
      <c r="D33" s="192"/>
      <c r="E33" s="193"/>
      <c r="F33" s="193"/>
      <c r="G33" s="193"/>
    </row>
    <row r="34" spans="1:7" s="18" customFormat="1" ht="17.399999999999999" x14ac:dyDescent="0.3">
      <c r="A34" s="33" t="s">
        <v>167</v>
      </c>
      <c r="B34" s="34"/>
      <c r="C34" s="35"/>
      <c r="D34" s="197"/>
      <c r="E34" s="36" t="s">
        <v>168</v>
      </c>
      <c r="F34" s="198"/>
      <c r="G34" s="198"/>
    </row>
    <row r="35" spans="1:7" s="18" customFormat="1" ht="22.8" customHeight="1" x14ac:dyDescent="0.3">
      <c r="A35" s="36"/>
      <c r="B35" s="34"/>
      <c r="C35" s="34"/>
      <c r="D35" s="199"/>
      <c r="E35" s="37"/>
      <c r="F35" s="198"/>
      <c r="G35" s="198"/>
    </row>
    <row r="36" spans="1:7" s="18" customFormat="1" ht="34.799999999999997" customHeight="1" x14ac:dyDescent="0.3">
      <c r="A36" s="38" t="s">
        <v>169</v>
      </c>
      <c r="B36" s="38"/>
      <c r="C36" s="38"/>
      <c r="D36" s="39"/>
      <c r="E36" s="39"/>
    </row>
    <row r="37" spans="1:7" s="18" customFormat="1" ht="18.600000000000001" customHeight="1" x14ac:dyDescent="0.3">
      <c r="A37" s="38" t="s">
        <v>170</v>
      </c>
      <c r="B37" s="38"/>
      <c r="C37" s="38"/>
      <c r="D37" s="39"/>
      <c r="E37" s="39" t="s">
        <v>171</v>
      </c>
    </row>
    <row r="38" spans="1:7" s="18" customFormat="1" ht="44.4" customHeight="1" x14ac:dyDescent="0.3">
      <c r="A38" s="38"/>
      <c r="B38" s="38"/>
      <c r="C38" s="38"/>
      <c r="D38" s="39"/>
      <c r="E38" s="39"/>
    </row>
    <row r="39" spans="1:7" s="18" customFormat="1" ht="17.399999999999999" x14ac:dyDescent="0.3">
      <c r="A39" s="40" t="s">
        <v>172</v>
      </c>
      <c r="B39" s="40"/>
      <c r="C39" s="40"/>
      <c r="D39" s="38"/>
      <c r="E39" s="38"/>
    </row>
    <row r="40" spans="1:7" s="18" customFormat="1" ht="17.399999999999999" x14ac:dyDescent="0.3">
      <c r="A40" s="36" t="s">
        <v>173</v>
      </c>
      <c r="B40" s="36"/>
      <c r="C40" s="36"/>
      <c r="D40" s="39"/>
      <c r="E40" s="39" t="s">
        <v>174</v>
      </c>
    </row>
  </sheetData>
  <mergeCells count="14">
    <mergeCell ref="A22:G22"/>
    <mergeCell ref="F9:F10"/>
    <mergeCell ref="G9:G10"/>
    <mergeCell ref="A12:G12"/>
    <mergeCell ref="A9:A10"/>
    <mergeCell ref="B9:B10"/>
    <mergeCell ref="C9:C10"/>
    <mergeCell ref="D9:D10"/>
    <mergeCell ref="E9:E10"/>
    <mergeCell ref="F1:G1"/>
    <mergeCell ref="F2:G2"/>
    <mergeCell ref="A4:G4"/>
    <mergeCell ref="A6:B6"/>
    <mergeCell ref="A7:B7"/>
  </mergeCells>
  <printOptions horizontalCentered="1"/>
  <pageMargins left="0.70866141732283472" right="0.70866141732283472" top="0.98425196850393704" bottom="0.3937007874015748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="80" zoomScaleNormal="80" zoomScaleSheetLayoutView="84" workbookViewId="0"/>
  </sheetViews>
  <sheetFormatPr defaultColWidth="9.109375" defaultRowHeight="13.8" x14ac:dyDescent="0.25"/>
  <cols>
    <col min="1" max="1" width="12" style="10" customWidth="1"/>
    <col min="2" max="2" width="52" style="10" customWidth="1"/>
    <col min="3" max="3" width="11.6640625" style="10" customWidth="1"/>
    <col min="4" max="4" width="19.6640625" style="10" customWidth="1"/>
    <col min="5" max="5" width="20.5546875" style="10" customWidth="1"/>
    <col min="6" max="6" width="20.109375" style="10" customWidth="1"/>
    <col min="7" max="7" width="20.6640625" style="10" customWidth="1"/>
    <col min="8" max="8" width="21.44140625" style="10" customWidth="1"/>
    <col min="9" max="16384" width="9.109375" style="10"/>
  </cols>
  <sheetData>
    <row r="1" spans="1:8" ht="21.6" customHeight="1" x14ac:dyDescent="0.25">
      <c r="G1" s="228" t="s">
        <v>402</v>
      </c>
      <c r="H1" s="242"/>
    </row>
    <row r="2" spans="1:8" ht="54.6" customHeight="1" x14ac:dyDescent="0.25">
      <c r="G2" s="243" t="s">
        <v>249</v>
      </c>
      <c r="H2" s="252"/>
    </row>
    <row r="3" spans="1:8" ht="3.6" customHeight="1" x14ac:dyDescent="0.3">
      <c r="G3" s="18"/>
      <c r="H3" s="18"/>
    </row>
    <row r="4" spans="1:8" ht="18.600000000000001" customHeight="1" x14ac:dyDescent="0.3">
      <c r="A4" s="245" t="s">
        <v>22</v>
      </c>
      <c r="B4" s="245"/>
      <c r="C4" s="245"/>
      <c r="D4" s="245"/>
      <c r="E4" s="245"/>
      <c r="F4" s="245"/>
      <c r="G4" s="245"/>
      <c r="H4" s="245"/>
    </row>
    <row r="5" spans="1:8" ht="2.4" customHeight="1" x14ac:dyDescent="0.3">
      <c r="A5" s="57"/>
      <c r="B5" s="57"/>
      <c r="C5" s="57"/>
      <c r="D5" s="57"/>
      <c r="E5" s="57"/>
      <c r="F5" s="57"/>
      <c r="G5" s="57"/>
      <c r="H5" s="57"/>
    </row>
    <row r="6" spans="1:8" ht="17.399999999999999" x14ac:dyDescent="0.3">
      <c r="A6" s="235">
        <v>1356300000</v>
      </c>
      <c r="B6" s="235"/>
      <c r="C6" s="61"/>
      <c r="D6" s="18"/>
      <c r="E6" s="18"/>
      <c r="F6" s="18"/>
      <c r="G6" s="18"/>
      <c r="H6" s="18"/>
    </row>
    <row r="7" spans="1:8" ht="15" customHeight="1" x14ac:dyDescent="0.25">
      <c r="A7" s="236" t="s">
        <v>0</v>
      </c>
      <c r="B7" s="236"/>
      <c r="C7" s="62"/>
      <c r="D7" s="46"/>
      <c r="E7" s="46"/>
      <c r="F7" s="46"/>
      <c r="G7" s="46"/>
      <c r="H7" s="46"/>
    </row>
    <row r="8" spans="1:8" ht="15.6" x14ac:dyDescent="0.3">
      <c r="A8" s="254" t="s">
        <v>11</v>
      </c>
      <c r="B8" s="254"/>
      <c r="C8" s="254"/>
      <c r="D8" s="254"/>
      <c r="E8" s="254"/>
      <c r="F8" s="254"/>
      <c r="G8" s="254"/>
      <c r="H8" s="254"/>
    </row>
    <row r="9" spans="1:8" x14ac:dyDescent="0.25">
      <c r="A9" s="248" t="s">
        <v>23</v>
      </c>
      <c r="B9" s="253" t="s">
        <v>3</v>
      </c>
      <c r="C9" s="255" t="s">
        <v>112</v>
      </c>
      <c r="D9" s="247" t="s">
        <v>250</v>
      </c>
      <c r="E9" s="247" t="s">
        <v>251</v>
      </c>
      <c r="F9" s="247" t="s">
        <v>95</v>
      </c>
      <c r="G9" s="247" t="s">
        <v>96</v>
      </c>
      <c r="H9" s="247" t="s">
        <v>252</v>
      </c>
    </row>
    <row r="10" spans="1:8" ht="19.95" customHeight="1" x14ac:dyDescent="0.25">
      <c r="A10" s="248"/>
      <c r="B10" s="253"/>
      <c r="C10" s="256"/>
      <c r="D10" s="247"/>
      <c r="E10" s="247"/>
      <c r="F10" s="247"/>
      <c r="G10" s="247"/>
      <c r="H10" s="247"/>
    </row>
    <row r="11" spans="1:8" ht="15" x14ac:dyDescent="0.25">
      <c r="A11" s="58">
        <v>1</v>
      </c>
      <c r="B11" s="58">
        <v>2</v>
      </c>
      <c r="C11" s="102">
        <v>3</v>
      </c>
      <c r="D11" s="102">
        <v>4</v>
      </c>
      <c r="E11" s="102">
        <v>5</v>
      </c>
      <c r="F11" s="102">
        <v>6</v>
      </c>
      <c r="G11" s="102">
        <v>7</v>
      </c>
      <c r="H11" s="102">
        <v>8</v>
      </c>
    </row>
    <row r="12" spans="1:8" ht="15.6" x14ac:dyDescent="0.3">
      <c r="A12" s="249" t="s">
        <v>113</v>
      </c>
      <c r="B12" s="250"/>
      <c r="C12" s="250"/>
      <c r="D12" s="250"/>
      <c r="E12" s="250"/>
      <c r="F12" s="250"/>
      <c r="G12" s="250"/>
      <c r="H12" s="251"/>
    </row>
    <row r="13" spans="1:8" ht="15.6" x14ac:dyDescent="0.25">
      <c r="A13" s="43">
        <v>200000</v>
      </c>
      <c r="B13" s="44" t="s">
        <v>114</v>
      </c>
      <c r="C13" s="43" t="s">
        <v>186</v>
      </c>
      <c r="D13" s="29">
        <f>D14</f>
        <v>854349365</v>
      </c>
      <c r="E13" s="29">
        <f t="shared" ref="E13:H13" si="0">E14</f>
        <v>2937108000</v>
      </c>
      <c r="F13" s="29">
        <f t="shared" si="0"/>
        <v>3374354500</v>
      </c>
      <c r="G13" s="29">
        <f t="shared" si="0"/>
        <v>2436553220</v>
      </c>
      <c r="H13" s="29">
        <f t="shared" si="0"/>
        <v>1160519890</v>
      </c>
    </row>
    <row r="14" spans="1:8" ht="15" x14ac:dyDescent="0.25">
      <c r="A14" s="208" t="s">
        <v>9</v>
      </c>
      <c r="B14" s="30" t="s">
        <v>115</v>
      </c>
      <c r="C14" s="208" t="s">
        <v>186</v>
      </c>
      <c r="D14" s="28">
        <v>854349365</v>
      </c>
      <c r="E14" s="28">
        <v>2937108000</v>
      </c>
      <c r="F14" s="28">
        <v>3374354500</v>
      </c>
      <c r="G14" s="28">
        <v>2436553220</v>
      </c>
      <c r="H14" s="28">
        <v>1160519890</v>
      </c>
    </row>
    <row r="15" spans="1:8" ht="15" x14ac:dyDescent="0.25">
      <c r="A15" s="208" t="s">
        <v>9</v>
      </c>
      <c r="B15" s="30" t="s">
        <v>10</v>
      </c>
      <c r="C15" s="208"/>
      <c r="D15" s="28">
        <v>0</v>
      </c>
      <c r="E15" s="28">
        <v>0</v>
      </c>
      <c r="F15" s="28">
        <v>0</v>
      </c>
      <c r="G15" s="28">
        <v>0</v>
      </c>
      <c r="H15" s="28">
        <v>0</v>
      </c>
    </row>
    <row r="16" spans="1:8" ht="15" x14ac:dyDescent="0.25">
      <c r="A16" s="208" t="s">
        <v>9</v>
      </c>
      <c r="B16" s="30" t="s">
        <v>116</v>
      </c>
      <c r="C16" s="208"/>
      <c r="D16" s="28">
        <v>0</v>
      </c>
      <c r="E16" s="28">
        <v>0</v>
      </c>
      <c r="F16" s="28">
        <v>0</v>
      </c>
      <c r="G16" s="28">
        <v>0</v>
      </c>
      <c r="H16" s="28">
        <v>0</v>
      </c>
    </row>
    <row r="17" spans="1:8" ht="46.8" x14ac:dyDescent="0.25">
      <c r="A17" s="114">
        <v>200000</v>
      </c>
      <c r="B17" s="115" t="s">
        <v>117</v>
      </c>
      <c r="C17" s="114" t="s">
        <v>186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</row>
    <row r="18" spans="1:8" ht="15.6" x14ac:dyDescent="0.25">
      <c r="A18" s="114" t="s">
        <v>9</v>
      </c>
      <c r="B18" s="115" t="s">
        <v>115</v>
      </c>
      <c r="C18" s="114" t="s">
        <v>186</v>
      </c>
      <c r="D18" s="28">
        <v>854349365</v>
      </c>
      <c r="E18" s="28">
        <v>2937108000</v>
      </c>
      <c r="F18" s="28">
        <v>3374354500</v>
      </c>
      <c r="G18" s="28">
        <v>2436553220</v>
      </c>
      <c r="H18" s="28">
        <v>1160519890</v>
      </c>
    </row>
    <row r="19" spans="1:8" ht="15.6" x14ac:dyDescent="0.25">
      <c r="A19" s="114" t="s">
        <v>9</v>
      </c>
      <c r="B19" s="115" t="s">
        <v>10</v>
      </c>
      <c r="C19" s="114"/>
      <c r="D19" s="116"/>
      <c r="E19" s="116"/>
      <c r="F19" s="116"/>
      <c r="G19" s="116"/>
      <c r="H19" s="116"/>
    </row>
    <row r="20" spans="1:8" ht="15.6" x14ac:dyDescent="0.25">
      <c r="A20" s="114" t="s">
        <v>9</v>
      </c>
      <c r="B20" s="115" t="s">
        <v>116</v>
      </c>
      <c r="C20" s="114"/>
      <c r="D20" s="116"/>
      <c r="E20" s="116"/>
      <c r="F20" s="116"/>
      <c r="G20" s="116"/>
      <c r="H20" s="116"/>
    </row>
    <row r="21" spans="1:8" ht="15.6" x14ac:dyDescent="0.25">
      <c r="A21" s="43">
        <v>300000</v>
      </c>
      <c r="B21" s="44" t="s">
        <v>118</v>
      </c>
      <c r="C21" s="43" t="s">
        <v>186</v>
      </c>
      <c r="D21" s="29">
        <f>D23</f>
        <v>579175981</v>
      </c>
      <c r="E21" s="29">
        <f t="shared" ref="E21:H21" si="1">E23</f>
        <v>524200000</v>
      </c>
      <c r="F21" s="29">
        <f t="shared" si="1"/>
        <v>455300000</v>
      </c>
      <c r="G21" s="29">
        <f t="shared" si="1"/>
        <v>284780000</v>
      </c>
      <c r="H21" s="29">
        <f t="shared" si="1"/>
        <v>98020000</v>
      </c>
    </row>
    <row r="22" spans="1:8" ht="15" x14ac:dyDescent="0.25">
      <c r="A22" s="208" t="s">
        <v>9</v>
      </c>
      <c r="B22" s="30" t="s">
        <v>10</v>
      </c>
      <c r="C22" s="208" t="s">
        <v>187</v>
      </c>
      <c r="D22" s="28">
        <v>11616860</v>
      </c>
      <c r="E22" s="28">
        <v>10000000</v>
      </c>
      <c r="F22" s="28">
        <v>8333333</v>
      </c>
      <c r="G22" s="28">
        <v>5000000</v>
      </c>
      <c r="H22" s="28">
        <v>1666667</v>
      </c>
    </row>
    <row r="23" spans="1:8" ht="15" x14ac:dyDescent="0.25">
      <c r="A23" s="208" t="s">
        <v>9</v>
      </c>
      <c r="B23" s="30" t="s">
        <v>116</v>
      </c>
      <c r="C23" s="208" t="s">
        <v>186</v>
      </c>
      <c r="D23" s="28">
        <v>579175981</v>
      </c>
      <c r="E23" s="28">
        <v>524200000</v>
      </c>
      <c r="F23" s="28">
        <v>455300000</v>
      </c>
      <c r="G23" s="28">
        <v>284780000</v>
      </c>
      <c r="H23" s="28">
        <v>98020000</v>
      </c>
    </row>
    <row r="24" spans="1:8" ht="46.8" x14ac:dyDescent="0.25">
      <c r="A24" s="114">
        <v>300000</v>
      </c>
      <c r="B24" s="115" t="s">
        <v>119</v>
      </c>
      <c r="C24" s="114" t="s">
        <v>186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</row>
    <row r="25" spans="1:8" ht="15.6" x14ac:dyDescent="0.25">
      <c r="A25" s="114" t="s">
        <v>9</v>
      </c>
      <c r="B25" s="115" t="s">
        <v>10</v>
      </c>
      <c r="C25" s="114" t="s">
        <v>187</v>
      </c>
      <c r="D25" s="28">
        <v>11616860</v>
      </c>
      <c r="E25" s="28">
        <v>10000000</v>
      </c>
      <c r="F25" s="28">
        <v>8333333</v>
      </c>
      <c r="G25" s="28">
        <v>5000000</v>
      </c>
      <c r="H25" s="28">
        <v>1666667</v>
      </c>
    </row>
    <row r="26" spans="1:8" ht="15.6" x14ac:dyDescent="0.25">
      <c r="A26" s="114" t="s">
        <v>9</v>
      </c>
      <c r="B26" s="115" t="s">
        <v>116</v>
      </c>
      <c r="C26" s="114" t="s">
        <v>186</v>
      </c>
      <c r="D26" s="28">
        <v>579175981</v>
      </c>
      <c r="E26" s="28">
        <v>524200000</v>
      </c>
      <c r="F26" s="28">
        <v>455300000</v>
      </c>
      <c r="G26" s="28">
        <v>284780000</v>
      </c>
      <c r="H26" s="28">
        <v>98020000</v>
      </c>
    </row>
    <row r="27" spans="1:8" ht="15.6" x14ac:dyDescent="0.25">
      <c r="A27" s="43" t="s">
        <v>9</v>
      </c>
      <c r="B27" s="44" t="s">
        <v>120</v>
      </c>
      <c r="C27" s="43" t="s">
        <v>186</v>
      </c>
      <c r="D27" s="29">
        <f>D13+D21</f>
        <v>1433525346</v>
      </c>
      <c r="E27" s="29">
        <f t="shared" ref="E27:H27" si="2">E13+E21</f>
        <v>3461308000</v>
      </c>
      <c r="F27" s="29">
        <f t="shared" si="2"/>
        <v>3829654500</v>
      </c>
      <c r="G27" s="29">
        <f t="shared" si="2"/>
        <v>2721333220</v>
      </c>
      <c r="H27" s="29">
        <f t="shared" si="2"/>
        <v>1258539890</v>
      </c>
    </row>
    <row r="28" spans="1:8" ht="46.8" x14ac:dyDescent="0.25">
      <c r="A28" s="208"/>
      <c r="B28" s="115" t="s">
        <v>121</v>
      </c>
      <c r="C28" s="114" t="s">
        <v>186</v>
      </c>
      <c r="D28" s="116">
        <f>D27</f>
        <v>1433525346</v>
      </c>
      <c r="E28" s="116">
        <f t="shared" ref="E28:H28" si="3">E27</f>
        <v>3461308000</v>
      </c>
      <c r="F28" s="116">
        <f t="shared" si="3"/>
        <v>3829654500</v>
      </c>
      <c r="G28" s="116">
        <f t="shared" si="3"/>
        <v>2721333220</v>
      </c>
      <c r="H28" s="116">
        <f t="shared" si="3"/>
        <v>1258539890</v>
      </c>
    </row>
    <row r="29" spans="1:8" s="92" customFormat="1" ht="17.399999999999999" x14ac:dyDescent="0.3">
      <c r="A29" s="94"/>
    </row>
    <row r="30" spans="1:8" ht="18" customHeight="1" x14ac:dyDescent="0.3">
      <c r="A30" s="13"/>
    </row>
    <row r="31" spans="1:8" ht="17.399999999999999" x14ac:dyDescent="0.25">
      <c r="A31" s="33" t="s">
        <v>167</v>
      </c>
      <c r="B31" s="34"/>
      <c r="C31" s="35"/>
      <c r="D31" s="36"/>
      <c r="E31" s="36"/>
      <c r="F31" s="36" t="s">
        <v>168</v>
      </c>
    </row>
    <row r="32" spans="1:8" ht="6" customHeight="1" x14ac:dyDescent="0.3">
      <c r="A32" s="36"/>
      <c r="B32" s="34"/>
      <c r="C32" s="34"/>
      <c r="D32" s="37"/>
      <c r="E32" s="37"/>
      <c r="F32" s="37"/>
    </row>
    <row r="33" spans="1:6" ht="17.399999999999999" x14ac:dyDescent="0.3">
      <c r="A33" s="38" t="s">
        <v>169</v>
      </c>
      <c r="B33" s="38"/>
      <c r="C33" s="38"/>
      <c r="D33" s="39"/>
      <c r="E33" s="39"/>
      <c r="F33" s="39"/>
    </row>
    <row r="34" spans="1:6" ht="17.399999999999999" x14ac:dyDescent="0.3">
      <c r="A34" s="38" t="s">
        <v>170</v>
      </c>
      <c r="B34" s="38"/>
      <c r="C34" s="38"/>
      <c r="D34" s="39"/>
      <c r="E34" s="39"/>
      <c r="F34" s="39" t="s">
        <v>171</v>
      </c>
    </row>
    <row r="35" spans="1:6" ht="14.25" customHeight="1" x14ac:dyDescent="0.3">
      <c r="A35" s="38"/>
      <c r="B35" s="38"/>
      <c r="C35" s="38"/>
      <c r="D35" s="39"/>
      <c r="E35" s="39"/>
      <c r="F35" s="39"/>
    </row>
    <row r="36" spans="1:6" ht="17.399999999999999" x14ac:dyDescent="0.3">
      <c r="A36" s="40" t="s">
        <v>172</v>
      </c>
      <c r="B36" s="40"/>
      <c r="C36" s="40"/>
      <c r="D36" s="38"/>
      <c r="E36" s="38"/>
      <c r="F36" s="38"/>
    </row>
    <row r="37" spans="1:6" ht="17.399999999999999" x14ac:dyDescent="0.3">
      <c r="A37" s="36" t="s">
        <v>173</v>
      </c>
      <c r="B37" s="36"/>
      <c r="C37" s="36"/>
      <c r="D37" s="39"/>
      <c r="E37" s="39"/>
      <c r="F37" s="39" t="s">
        <v>174</v>
      </c>
    </row>
  </sheetData>
  <mergeCells count="15">
    <mergeCell ref="A12:H12"/>
    <mergeCell ref="G1:H1"/>
    <mergeCell ref="G2:H2"/>
    <mergeCell ref="A9:A10"/>
    <mergeCell ref="B9:B10"/>
    <mergeCell ref="A4:H4"/>
    <mergeCell ref="A8:H8"/>
    <mergeCell ref="A6:B6"/>
    <mergeCell ref="A7:B7"/>
    <mergeCell ref="C9:C10"/>
    <mergeCell ref="D9:D10"/>
    <mergeCell ref="E9:E10"/>
    <mergeCell ref="F9:F10"/>
    <mergeCell ref="G9:G10"/>
    <mergeCell ref="H9:H10"/>
  </mergeCells>
  <printOptions horizontalCentered="1"/>
  <pageMargins left="0.39370078740157483" right="0.39370078740157483" top="0.59055118110236227" bottom="0.19685039370078741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zoomScale="80" zoomScaleNormal="80" zoomScaleSheetLayoutView="80" workbookViewId="0"/>
  </sheetViews>
  <sheetFormatPr defaultColWidth="9.109375" defaultRowHeight="13.8" x14ac:dyDescent="0.25"/>
  <cols>
    <col min="1" max="1" width="12.44140625" style="1" customWidth="1"/>
    <col min="2" max="2" width="62.109375" style="1" customWidth="1"/>
    <col min="3" max="3" width="11.6640625" style="1" customWidth="1"/>
    <col min="4" max="4" width="22.88671875" style="1" customWidth="1"/>
    <col min="5" max="5" width="22.33203125" style="1" customWidth="1"/>
    <col min="6" max="6" width="23.5546875" style="1" customWidth="1"/>
    <col min="7" max="8" width="21.6640625" style="1" customWidth="1"/>
    <col min="9" max="16384" width="9.109375" style="1"/>
  </cols>
  <sheetData>
    <row r="1" spans="1:14" ht="18" customHeight="1" x14ac:dyDescent="0.3">
      <c r="A1" s="2"/>
      <c r="B1" s="3"/>
      <c r="C1" s="3"/>
      <c r="D1" s="3"/>
      <c r="E1" s="3"/>
      <c r="F1" s="3"/>
      <c r="G1" s="263" t="s">
        <v>391</v>
      </c>
      <c r="H1" s="264"/>
    </row>
    <row r="2" spans="1:14" ht="52.8" customHeight="1" x14ac:dyDescent="0.3">
      <c r="A2" s="2"/>
      <c r="B2" s="3"/>
      <c r="C2" s="3"/>
      <c r="D2" s="3"/>
      <c r="E2" s="3"/>
      <c r="F2" s="3"/>
      <c r="G2" s="265" t="s">
        <v>254</v>
      </c>
      <c r="H2" s="266"/>
      <c r="M2" s="200"/>
      <c r="N2" s="92"/>
    </row>
    <row r="3" spans="1:14" ht="3.6" customHeight="1" x14ac:dyDescent="0.3">
      <c r="A3" s="2"/>
      <c r="B3" s="3"/>
      <c r="C3" s="3"/>
      <c r="D3" s="3"/>
      <c r="E3" s="3"/>
      <c r="F3" s="3"/>
      <c r="G3" s="3"/>
      <c r="H3" s="3"/>
    </row>
    <row r="4" spans="1:14" ht="17.399999999999999" x14ac:dyDescent="0.3">
      <c r="A4" s="258" t="s">
        <v>122</v>
      </c>
      <c r="B4" s="258"/>
      <c r="C4" s="258"/>
      <c r="D4" s="258"/>
      <c r="E4" s="258"/>
      <c r="F4" s="258"/>
      <c r="G4" s="258"/>
      <c r="H4" s="258"/>
    </row>
    <row r="5" spans="1:14" ht="17.399999999999999" x14ac:dyDescent="0.3">
      <c r="A5" s="258" t="s">
        <v>183</v>
      </c>
      <c r="B5" s="258"/>
      <c r="C5" s="258"/>
      <c r="D5" s="258"/>
      <c r="E5" s="258"/>
      <c r="F5" s="258"/>
      <c r="G5" s="258"/>
      <c r="H5" s="258"/>
    </row>
    <row r="6" spans="1:14" ht="17.399999999999999" x14ac:dyDescent="0.3">
      <c r="A6" s="259">
        <v>1356300000</v>
      </c>
      <c r="B6" s="259"/>
      <c r="C6" s="23"/>
      <c r="D6" s="3"/>
      <c r="E6" s="3"/>
      <c r="F6" s="3"/>
      <c r="G6" s="3"/>
      <c r="H6" s="3"/>
    </row>
    <row r="7" spans="1:14" ht="15" customHeight="1" x14ac:dyDescent="0.25">
      <c r="A7" s="260" t="s">
        <v>0</v>
      </c>
      <c r="B7" s="260"/>
      <c r="C7" s="24"/>
      <c r="D7" s="4"/>
      <c r="E7" s="4"/>
      <c r="F7" s="4"/>
      <c r="G7" s="4"/>
      <c r="H7" s="4"/>
    </row>
    <row r="8" spans="1:14" ht="15.6" x14ac:dyDescent="0.3">
      <c r="A8" s="4"/>
      <c r="H8" s="32" t="s">
        <v>11</v>
      </c>
    </row>
    <row r="9" spans="1:14" x14ac:dyDescent="0.25">
      <c r="A9" s="267" t="s">
        <v>390</v>
      </c>
      <c r="B9" s="267" t="s">
        <v>3</v>
      </c>
      <c r="C9" s="261" t="s">
        <v>112</v>
      </c>
      <c r="D9" s="269" t="s">
        <v>250</v>
      </c>
      <c r="E9" s="269" t="s">
        <v>251</v>
      </c>
      <c r="F9" s="269" t="s">
        <v>95</v>
      </c>
      <c r="G9" s="269" t="s">
        <v>96</v>
      </c>
      <c r="H9" s="269" t="s">
        <v>252</v>
      </c>
    </row>
    <row r="10" spans="1:14" ht="18.600000000000001" customHeight="1" x14ac:dyDescent="0.25">
      <c r="A10" s="267"/>
      <c r="B10" s="267"/>
      <c r="C10" s="262"/>
      <c r="D10" s="269"/>
      <c r="E10" s="269"/>
      <c r="F10" s="269"/>
      <c r="G10" s="269"/>
      <c r="H10" s="269"/>
    </row>
    <row r="11" spans="1:14" ht="15" x14ac:dyDescent="0.2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</row>
    <row r="12" spans="1:14" s="10" customFormat="1" ht="15.6" x14ac:dyDescent="0.3">
      <c r="A12" s="268" t="s">
        <v>123</v>
      </c>
      <c r="B12" s="268"/>
      <c r="C12" s="268"/>
      <c r="D12" s="268"/>
      <c r="E12" s="268"/>
      <c r="F12" s="268"/>
      <c r="G12" s="268"/>
      <c r="H12" s="268"/>
    </row>
    <row r="13" spans="1:14" s="56" customFormat="1" ht="15.6" hidden="1" x14ac:dyDescent="0.25">
      <c r="A13" s="117">
        <v>1</v>
      </c>
      <c r="B13" s="118" t="s">
        <v>132</v>
      </c>
      <c r="C13" s="117"/>
      <c r="D13" s="119"/>
      <c r="E13" s="119"/>
      <c r="F13" s="119"/>
      <c r="G13" s="119"/>
      <c r="H13" s="119"/>
    </row>
    <row r="14" spans="1:14" s="10" customFormat="1" ht="15" hidden="1" x14ac:dyDescent="0.25">
      <c r="A14" s="21" t="s">
        <v>9</v>
      </c>
      <c r="B14" s="120" t="s">
        <v>115</v>
      </c>
      <c r="C14" s="21"/>
      <c r="D14" s="121"/>
      <c r="E14" s="121"/>
      <c r="F14" s="121"/>
      <c r="G14" s="121"/>
      <c r="H14" s="121"/>
    </row>
    <row r="15" spans="1:14" s="56" customFormat="1" ht="15" hidden="1" x14ac:dyDescent="0.25">
      <c r="A15" s="21" t="s">
        <v>9</v>
      </c>
      <c r="B15" s="120" t="s">
        <v>10</v>
      </c>
      <c r="C15" s="21"/>
      <c r="D15" s="121"/>
      <c r="E15" s="121"/>
      <c r="F15" s="121"/>
      <c r="G15" s="121"/>
      <c r="H15" s="121"/>
    </row>
    <row r="16" spans="1:14" s="10" customFormat="1" ht="15" hidden="1" x14ac:dyDescent="0.25">
      <c r="A16" s="21" t="s">
        <v>9</v>
      </c>
      <c r="B16" s="120" t="s">
        <v>124</v>
      </c>
      <c r="C16" s="21"/>
      <c r="D16" s="121"/>
      <c r="E16" s="121"/>
      <c r="F16" s="121"/>
      <c r="G16" s="121"/>
      <c r="H16" s="121"/>
    </row>
    <row r="17" spans="1:8" s="10" customFormat="1" ht="15.6" x14ac:dyDescent="0.25">
      <c r="A17" s="209">
        <v>2</v>
      </c>
      <c r="B17" s="118" t="s">
        <v>133</v>
      </c>
      <c r="C17" s="209"/>
      <c r="D17" s="119"/>
      <c r="E17" s="119"/>
      <c r="F17" s="119"/>
      <c r="G17" s="119"/>
      <c r="H17" s="119"/>
    </row>
    <row r="18" spans="1:8" s="56" customFormat="1" ht="15" x14ac:dyDescent="0.25">
      <c r="A18" s="21" t="s">
        <v>9</v>
      </c>
      <c r="B18" s="120" t="s">
        <v>10</v>
      </c>
      <c r="C18" s="21" t="s">
        <v>187</v>
      </c>
      <c r="D18" s="121">
        <v>10000000</v>
      </c>
      <c r="E18" s="121">
        <v>0</v>
      </c>
      <c r="F18" s="121">
        <v>0</v>
      </c>
      <c r="G18" s="121">
        <v>0</v>
      </c>
      <c r="H18" s="121">
        <v>0</v>
      </c>
    </row>
    <row r="19" spans="1:8" s="10" customFormat="1" ht="15.75" customHeight="1" x14ac:dyDescent="0.25">
      <c r="A19" s="21" t="s">
        <v>9</v>
      </c>
      <c r="B19" s="120" t="s">
        <v>124</v>
      </c>
      <c r="C19" s="21" t="s">
        <v>186</v>
      </c>
      <c r="D19" s="121">
        <v>498565000</v>
      </c>
      <c r="E19" s="121">
        <v>0</v>
      </c>
      <c r="F19" s="121">
        <v>0</v>
      </c>
      <c r="G19" s="121">
        <v>0</v>
      </c>
      <c r="H19" s="121">
        <v>0</v>
      </c>
    </row>
    <row r="20" spans="1:8" s="56" customFormat="1" ht="15.6" x14ac:dyDescent="0.25">
      <c r="A20" s="209" t="s">
        <v>9</v>
      </c>
      <c r="B20" s="118" t="s">
        <v>134</v>
      </c>
      <c r="C20" s="118"/>
      <c r="D20" s="119">
        <f>D19</f>
        <v>498565000</v>
      </c>
      <c r="E20" s="119">
        <f t="shared" ref="E20:H20" si="0">E19</f>
        <v>0</v>
      </c>
      <c r="F20" s="119">
        <f t="shared" si="0"/>
        <v>0</v>
      </c>
      <c r="G20" s="119">
        <f t="shared" si="0"/>
        <v>0</v>
      </c>
      <c r="H20" s="119">
        <f t="shared" si="0"/>
        <v>0</v>
      </c>
    </row>
    <row r="21" spans="1:8" s="56" customFormat="1" ht="15.75" customHeight="1" x14ac:dyDescent="0.25">
      <c r="A21" s="257" t="s">
        <v>125</v>
      </c>
      <c r="B21" s="257"/>
      <c r="C21" s="257"/>
      <c r="D21" s="257"/>
      <c r="E21" s="257"/>
      <c r="F21" s="257"/>
      <c r="G21" s="257"/>
      <c r="H21" s="257"/>
    </row>
    <row r="22" spans="1:8" s="10" customFormat="1" ht="45" x14ac:dyDescent="0.25">
      <c r="A22" s="21">
        <v>1</v>
      </c>
      <c r="B22" s="120" t="s">
        <v>126</v>
      </c>
      <c r="C22" s="21" t="s">
        <v>186</v>
      </c>
      <c r="D22" s="121">
        <v>0</v>
      </c>
      <c r="E22" s="121">
        <f>E23</f>
        <v>359000000</v>
      </c>
      <c r="F22" s="59">
        <v>366258818</v>
      </c>
      <c r="G22" s="59">
        <v>488447753</v>
      </c>
      <c r="H22" s="59">
        <v>466725459</v>
      </c>
    </row>
    <row r="23" spans="1:8" s="10" customFormat="1" ht="78" x14ac:dyDescent="0.25">
      <c r="A23" s="122" t="s">
        <v>7</v>
      </c>
      <c r="B23" s="123" t="s">
        <v>127</v>
      </c>
      <c r="C23" s="21" t="s">
        <v>186</v>
      </c>
      <c r="D23" s="159">
        <v>0</v>
      </c>
      <c r="E23" s="159">
        <v>359000000</v>
      </c>
      <c r="F23" s="217">
        <v>366258818</v>
      </c>
      <c r="G23" s="217">
        <v>488447753</v>
      </c>
      <c r="H23" s="217">
        <v>466725459</v>
      </c>
    </row>
    <row r="24" spans="1:8" s="10" customFormat="1" ht="14.25" customHeight="1" x14ac:dyDescent="0.25">
      <c r="A24" s="257" t="s">
        <v>135</v>
      </c>
      <c r="B24" s="257"/>
      <c r="C24" s="257"/>
      <c r="D24" s="257"/>
      <c r="E24" s="257"/>
      <c r="F24" s="257"/>
      <c r="G24" s="257"/>
      <c r="H24" s="257"/>
    </row>
    <row r="25" spans="1:8" s="10" customFormat="1" ht="15.6" x14ac:dyDescent="0.25">
      <c r="A25" s="209">
        <v>1</v>
      </c>
      <c r="B25" s="118" t="s">
        <v>114</v>
      </c>
      <c r="C25" s="209"/>
      <c r="D25" s="119">
        <f>D28</f>
        <v>2484397004.4699998</v>
      </c>
      <c r="E25" s="119">
        <f>E28</f>
        <v>3451719660</v>
      </c>
      <c r="F25" s="119">
        <f t="shared" ref="F25:H25" si="1">F28</f>
        <v>3643463400</v>
      </c>
      <c r="G25" s="119">
        <f t="shared" si="1"/>
        <v>3632988410</v>
      </c>
      <c r="H25" s="119">
        <f t="shared" si="1"/>
        <v>3475127000</v>
      </c>
    </row>
    <row r="26" spans="1:8" s="10" customFormat="1" ht="15" x14ac:dyDescent="0.25">
      <c r="A26" s="21" t="s">
        <v>9</v>
      </c>
      <c r="B26" s="120" t="s">
        <v>115</v>
      </c>
      <c r="C26" s="21"/>
      <c r="D26" s="121"/>
      <c r="E26" s="121"/>
      <c r="F26" s="121"/>
      <c r="G26" s="121"/>
      <c r="H26" s="121"/>
    </row>
    <row r="27" spans="1:8" s="10" customFormat="1" ht="15" x14ac:dyDescent="0.25">
      <c r="A27" s="21" t="s">
        <v>9</v>
      </c>
      <c r="B27" s="120" t="s">
        <v>128</v>
      </c>
      <c r="C27" s="21" t="s">
        <v>187</v>
      </c>
      <c r="D27" s="121">
        <v>49830954.93</v>
      </c>
      <c r="E27" s="121">
        <v>65847380</v>
      </c>
      <c r="F27" s="121">
        <v>66686130</v>
      </c>
      <c r="G27" s="121">
        <v>63785877</v>
      </c>
      <c r="H27" s="121">
        <v>59088740</v>
      </c>
    </row>
    <row r="28" spans="1:8" s="10" customFormat="1" ht="15" x14ac:dyDescent="0.25">
      <c r="A28" s="21" t="s">
        <v>9</v>
      </c>
      <c r="B28" s="120" t="s">
        <v>116</v>
      </c>
      <c r="C28" s="21" t="s">
        <v>186</v>
      </c>
      <c r="D28" s="121">
        <v>2484397004.4699998</v>
      </c>
      <c r="E28" s="121">
        <v>3451719660</v>
      </c>
      <c r="F28" s="121">
        <v>3643463400</v>
      </c>
      <c r="G28" s="121">
        <v>3632988410</v>
      </c>
      <c r="H28" s="121">
        <v>3475127000</v>
      </c>
    </row>
    <row r="29" spans="1:8" s="10" customFormat="1" ht="35.25" customHeight="1" x14ac:dyDescent="0.25">
      <c r="A29" s="122" t="s">
        <v>7</v>
      </c>
      <c r="B29" s="123" t="s">
        <v>129</v>
      </c>
      <c r="C29" s="21"/>
      <c r="D29" s="159">
        <v>0</v>
      </c>
      <c r="E29" s="159">
        <v>0</v>
      </c>
      <c r="F29" s="159">
        <v>0</v>
      </c>
      <c r="G29" s="159">
        <v>0</v>
      </c>
      <c r="H29" s="159">
        <v>0</v>
      </c>
    </row>
    <row r="30" spans="1:8" s="10" customFormat="1" ht="15.6" x14ac:dyDescent="0.25">
      <c r="A30" s="124" t="s">
        <v>9</v>
      </c>
      <c r="B30" s="123" t="s">
        <v>115</v>
      </c>
      <c r="C30" s="21"/>
      <c r="D30" s="159">
        <v>0</v>
      </c>
      <c r="E30" s="159">
        <v>0</v>
      </c>
      <c r="F30" s="159">
        <v>0</v>
      </c>
      <c r="G30" s="159">
        <v>0</v>
      </c>
      <c r="H30" s="159">
        <v>0</v>
      </c>
    </row>
    <row r="31" spans="1:8" s="10" customFormat="1" ht="15.6" x14ac:dyDescent="0.25">
      <c r="A31" s="124" t="s">
        <v>9</v>
      </c>
      <c r="B31" s="123" t="s">
        <v>128</v>
      </c>
      <c r="C31" s="21" t="s">
        <v>187</v>
      </c>
      <c r="D31" s="121">
        <v>49830954.93</v>
      </c>
      <c r="E31" s="121">
        <v>65847380</v>
      </c>
      <c r="F31" s="121">
        <v>66686130</v>
      </c>
      <c r="G31" s="121">
        <v>63785877</v>
      </c>
      <c r="H31" s="121">
        <v>59088740</v>
      </c>
    </row>
    <row r="32" spans="1:8" s="10" customFormat="1" ht="15.6" x14ac:dyDescent="0.25">
      <c r="A32" s="124" t="s">
        <v>9</v>
      </c>
      <c r="B32" s="123" t="s">
        <v>116</v>
      </c>
      <c r="C32" s="21" t="s">
        <v>186</v>
      </c>
      <c r="D32" s="121">
        <v>2484397004.4699998</v>
      </c>
      <c r="E32" s="121">
        <v>3451719660</v>
      </c>
      <c r="F32" s="121">
        <v>3643463400</v>
      </c>
      <c r="G32" s="121">
        <v>3632988410</v>
      </c>
      <c r="H32" s="121">
        <v>3475126977</v>
      </c>
    </row>
    <row r="33" spans="1:8" s="10" customFormat="1" ht="15.6" x14ac:dyDescent="0.25">
      <c r="A33" s="209">
        <v>2</v>
      </c>
      <c r="B33" s="118" t="s">
        <v>118</v>
      </c>
      <c r="C33" s="209"/>
      <c r="D33" s="119">
        <f>D35</f>
        <v>1672806779.6300001</v>
      </c>
      <c r="E33" s="119">
        <f t="shared" ref="E33:H33" si="2">E35</f>
        <v>1683077250</v>
      </c>
      <c r="F33" s="119">
        <f t="shared" si="2"/>
        <v>1864151000</v>
      </c>
      <c r="G33" s="119">
        <f t="shared" si="2"/>
        <v>1500893007</v>
      </c>
      <c r="H33" s="119">
        <f t="shared" si="2"/>
        <v>1101238844</v>
      </c>
    </row>
    <row r="34" spans="1:8" s="10" customFormat="1" ht="15" x14ac:dyDescent="0.25">
      <c r="A34" s="21" t="s">
        <v>9</v>
      </c>
      <c r="B34" s="120" t="s">
        <v>10</v>
      </c>
      <c r="C34" s="21" t="s">
        <v>187</v>
      </c>
      <c r="D34" s="121">
        <v>33552431.07</v>
      </c>
      <c r="E34" s="121">
        <v>32107540</v>
      </c>
      <c r="F34" s="121">
        <v>34119460</v>
      </c>
      <c r="G34" s="121">
        <v>26351798</v>
      </c>
      <c r="H34" s="121">
        <v>18724730</v>
      </c>
    </row>
    <row r="35" spans="1:8" s="10" customFormat="1" ht="15" x14ac:dyDescent="0.25">
      <c r="A35" s="21" t="s">
        <v>9</v>
      </c>
      <c r="B35" s="120" t="s">
        <v>116</v>
      </c>
      <c r="C35" s="21" t="s">
        <v>186</v>
      </c>
      <c r="D35" s="121">
        <v>1672806779.6300001</v>
      </c>
      <c r="E35" s="121">
        <v>1683077250</v>
      </c>
      <c r="F35" s="121">
        <v>1864151000</v>
      </c>
      <c r="G35" s="121">
        <v>1500893007</v>
      </c>
      <c r="H35" s="121">
        <v>1101238844</v>
      </c>
    </row>
    <row r="36" spans="1:8" s="10" customFormat="1" ht="31.2" x14ac:dyDescent="0.25">
      <c r="A36" s="122" t="s">
        <v>8</v>
      </c>
      <c r="B36" s="123" t="s">
        <v>130</v>
      </c>
      <c r="C36" s="21"/>
      <c r="D36" s="159">
        <v>0</v>
      </c>
      <c r="E36" s="159">
        <v>0</v>
      </c>
      <c r="F36" s="159">
        <v>0</v>
      </c>
      <c r="G36" s="159">
        <v>0</v>
      </c>
      <c r="H36" s="159">
        <v>0</v>
      </c>
    </row>
    <row r="37" spans="1:8" s="10" customFormat="1" ht="15.6" x14ac:dyDescent="0.25">
      <c r="A37" s="124" t="s">
        <v>9</v>
      </c>
      <c r="B37" s="123" t="s">
        <v>10</v>
      </c>
      <c r="C37" s="21" t="s">
        <v>187</v>
      </c>
      <c r="D37" s="121">
        <v>33552431.07</v>
      </c>
      <c r="E37" s="121">
        <v>32107540</v>
      </c>
      <c r="F37" s="121">
        <v>34119460</v>
      </c>
      <c r="G37" s="121">
        <v>26351798</v>
      </c>
      <c r="H37" s="121">
        <v>18724730</v>
      </c>
    </row>
    <row r="38" spans="1:8" s="10" customFormat="1" ht="15.6" x14ac:dyDescent="0.25">
      <c r="A38" s="124" t="s">
        <v>9</v>
      </c>
      <c r="B38" s="123" t="s">
        <v>116</v>
      </c>
      <c r="C38" s="21" t="s">
        <v>186</v>
      </c>
      <c r="D38" s="121">
        <v>1672806779.6300001</v>
      </c>
      <c r="E38" s="121">
        <v>1683077250</v>
      </c>
      <c r="F38" s="121">
        <v>1864151000</v>
      </c>
      <c r="G38" s="121">
        <v>1500893120</v>
      </c>
      <c r="H38" s="121">
        <v>1101238821</v>
      </c>
    </row>
    <row r="39" spans="1:8" s="10" customFormat="1" ht="14.25" customHeight="1" x14ac:dyDescent="0.25">
      <c r="A39" s="209" t="s">
        <v>9</v>
      </c>
      <c r="B39" s="118" t="s">
        <v>185</v>
      </c>
      <c r="C39" s="209"/>
      <c r="D39" s="119">
        <f>D25+D33</f>
        <v>4157203784.0999999</v>
      </c>
      <c r="E39" s="119">
        <f t="shared" ref="E39:H39" si="3">E25+E33</f>
        <v>5134796910</v>
      </c>
      <c r="F39" s="119">
        <f t="shared" si="3"/>
        <v>5507614400</v>
      </c>
      <c r="G39" s="119">
        <f t="shared" si="3"/>
        <v>5133881417</v>
      </c>
      <c r="H39" s="119">
        <f t="shared" si="3"/>
        <v>4576365844</v>
      </c>
    </row>
    <row r="40" spans="1:8" s="10" customFormat="1" ht="46.8" hidden="1" x14ac:dyDescent="0.25">
      <c r="A40" s="124" t="s">
        <v>9</v>
      </c>
      <c r="B40" s="123" t="s">
        <v>131</v>
      </c>
      <c r="C40" s="21"/>
      <c r="D40" s="121"/>
      <c r="E40" s="121"/>
      <c r="F40" s="121"/>
      <c r="G40" s="121"/>
      <c r="H40" s="121"/>
    </row>
    <row r="42" spans="1:8" ht="31.8" customHeight="1" x14ac:dyDescent="0.25"/>
    <row r="43" spans="1:8" ht="17.399999999999999" x14ac:dyDescent="0.25">
      <c r="A43" s="33" t="s">
        <v>167</v>
      </c>
      <c r="B43" s="34"/>
      <c r="C43" s="35"/>
      <c r="D43" s="36"/>
      <c r="E43" s="36"/>
      <c r="F43" s="36" t="s">
        <v>168</v>
      </c>
    </row>
    <row r="44" spans="1:8" ht="11.4" customHeight="1" x14ac:dyDescent="0.3">
      <c r="A44" s="36"/>
      <c r="B44" s="34"/>
      <c r="C44" s="34"/>
      <c r="D44" s="37"/>
      <c r="E44" s="37"/>
      <c r="F44" s="37"/>
    </row>
    <row r="45" spans="1:8" ht="17.399999999999999" x14ac:dyDescent="0.3">
      <c r="A45" s="38" t="s">
        <v>169</v>
      </c>
      <c r="B45" s="38"/>
      <c r="C45" s="38"/>
      <c r="D45" s="39"/>
      <c r="E45" s="39"/>
      <c r="F45" s="39"/>
    </row>
    <row r="46" spans="1:8" ht="17.399999999999999" x14ac:dyDescent="0.3">
      <c r="A46" s="38" t="s">
        <v>170</v>
      </c>
      <c r="B46" s="38"/>
      <c r="C46" s="38"/>
      <c r="D46" s="39"/>
      <c r="E46" s="39"/>
      <c r="F46" s="39" t="s">
        <v>171</v>
      </c>
    </row>
    <row r="47" spans="1:8" ht="16.8" customHeight="1" x14ac:dyDescent="0.3">
      <c r="A47" s="38"/>
      <c r="B47" s="38"/>
      <c r="C47" s="38"/>
      <c r="D47" s="39"/>
      <c r="E47" s="39"/>
      <c r="F47" s="39"/>
    </row>
    <row r="48" spans="1:8" ht="17.399999999999999" x14ac:dyDescent="0.3">
      <c r="A48" s="40" t="s">
        <v>172</v>
      </c>
      <c r="B48" s="40"/>
      <c r="C48" s="40"/>
      <c r="D48" s="38"/>
      <c r="E48" s="38"/>
      <c r="F48" s="38"/>
    </row>
    <row r="49" spans="1:6" ht="17.399999999999999" x14ac:dyDescent="0.3">
      <c r="A49" s="36" t="s">
        <v>173</v>
      </c>
      <c r="B49" s="36"/>
      <c r="C49" s="36"/>
      <c r="D49" s="39"/>
      <c r="E49" s="39"/>
      <c r="F49" s="39" t="s">
        <v>174</v>
      </c>
    </row>
  </sheetData>
  <mergeCells count="17">
    <mergeCell ref="G1:H1"/>
    <mergeCell ref="G2:H2"/>
    <mergeCell ref="A9:A10"/>
    <mergeCell ref="B9:B10"/>
    <mergeCell ref="A12:H12"/>
    <mergeCell ref="D9:D10"/>
    <mergeCell ref="E9:E10"/>
    <mergeCell ref="F9:F10"/>
    <mergeCell ref="G9:G10"/>
    <mergeCell ref="H9:H10"/>
    <mergeCell ref="A21:H21"/>
    <mergeCell ref="A24:H24"/>
    <mergeCell ref="A4:H4"/>
    <mergeCell ref="A5:H5"/>
    <mergeCell ref="A6:B6"/>
    <mergeCell ref="A7:B7"/>
    <mergeCell ref="C9:C10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zoomScale="79" zoomScaleNormal="79" workbookViewId="0"/>
  </sheetViews>
  <sheetFormatPr defaultColWidth="9.109375" defaultRowHeight="13.8" x14ac:dyDescent="0.25"/>
  <cols>
    <col min="1" max="1" width="12.88671875" style="10" customWidth="1"/>
    <col min="2" max="2" width="83" style="10" customWidth="1"/>
    <col min="3" max="3" width="20.44140625" style="10" customWidth="1"/>
    <col min="4" max="4" width="19.88671875" style="10" customWidth="1"/>
    <col min="5" max="5" width="20.44140625" style="10" customWidth="1"/>
    <col min="6" max="7" width="21.33203125" style="10" customWidth="1"/>
    <col min="8" max="16384" width="9.109375" style="10"/>
  </cols>
  <sheetData>
    <row r="1" spans="1:12" ht="20.399999999999999" customHeight="1" x14ac:dyDescent="0.3">
      <c r="F1" s="228" t="s">
        <v>188</v>
      </c>
      <c r="G1" s="242"/>
      <c r="L1" s="227"/>
    </row>
    <row r="2" spans="1:12" ht="53.4" customHeight="1" x14ac:dyDescent="0.25">
      <c r="F2" s="243" t="s">
        <v>249</v>
      </c>
      <c r="G2" s="252"/>
    </row>
    <row r="3" spans="1:12" ht="15" customHeight="1" x14ac:dyDescent="0.25">
      <c r="F3" s="17"/>
    </row>
    <row r="4" spans="1:12" ht="42.75" customHeight="1" x14ac:dyDescent="0.25">
      <c r="A4" s="237" t="s">
        <v>184</v>
      </c>
      <c r="B4" s="237"/>
      <c r="C4" s="237"/>
      <c r="D4" s="237"/>
      <c r="E4" s="237"/>
      <c r="F4" s="237"/>
      <c r="G4" s="237"/>
    </row>
    <row r="5" spans="1:12" ht="12.75" customHeight="1" x14ac:dyDescent="0.25">
      <c r="A5" s="11"/>
      <c r="B5" s="11"/>
      <c r="C5" s="11"/>
      <c r="D5" s="11"/>
      <c r="E5" s="11"/>
      <c r="F5" s="11"/>
      <c r="G5" s="11"/>
    </row>
    <row r="6" spans="1:12" ht="15" x14ac:dyDescent="0.25">
      <c r="A6" s="235">
        <v>1356300000</v>
      </c>
      <c r="B6" s="235"/>
    </row>
    <row r="7" spans="1:12" ht="15" x14ac:dyDescent="0.25">
      <c r="A7" s="236" t="s">
        <v>0</v>
      </c>
      <c r="B7" s="236"/>
      <c r="C7" s="160"/>
      <c r="D7" s="160"/>
      <c r="E7" s="160"/>
      <c r="F7" s="160"/>
      <c r="G7" s="160"/>
    </row>
    <row r="8" spans="1:12" ht="15.6" x14ac:dyDescent="0.25">
      <c r="C8" s="160"/>
      <c r="D8" s="160"/>
      <c r="E8" s="160"/>
      <c r="F8" s="160"/>
      <c r="G8" s="161" t="s">
        <v>11</v>
      </c>
    </row>
    <row r="9" spans="1:12" s="46" customFormat="1" ht="15" x14ac:dyDescent="0.25">
      <c r="A9" s="270" t="s">
        <v>44</v>
      </c>
      <c r="B9" s="270" t="s">
        <v>45</v>
      </c>
      <c r="C9" s="247" t="s">
        <v>250</v>
      </c>
      <c r="D9" s="247" t="s">
        <v>251</v>
      </c>
      <c r="E9" s="272" t="s">
        <v>95</v>
      </c>
      <c r="F9" s="247" t="s">
        <v>96</v>
      </c>
      <c r="G9" s="247" t="s">
        <v>252</v>
      </c>
    </row>
    <row r="10" spans="1:12" s="46" customFormat="1" ht="30" customHeight="1" x14ac:dyDescent="0.25">
      <c r="A10" s="271"/>
      <c r="B10" s="271"/>
      <c r="C10" s="247"/>
      <c r="D10" s="247"/>
      <c r="E10" s="273"/>
      <c r="F10" s="247"/>
      <c r="G10" s="247"/>
    </row>
    <row r="11" spans="1:12" s="46" customFormat="1" ht="15" customHeight="1" x14ac:dyDescent="0.25">
      <c r="A11" s="127">
        <v>1</v>
      </c>
      <c r="B11" s="127">
        <v>2</v>
      </c>
      <c r="C11" s="127">
        <v>3</v>
      </c>
      <c r="D11" s="162">
        <v>4</v>
      </c>
      <c r="E11" s="185">
        <v>5</v>
      </c>
      <c r="F11" s="185">
        <v>6</v>
      </c>
      <c r="G11" s="185">
        <v>7</v>
      </c>
    </row>
    <row r="12" spans="1:12" s="133" customFormat="1" ht="18.75" customHeight="1" x14ac:dyDescent="0.3">
      <c r="A12" s="69" t="s">
        <v>305</v>
      </c>
      <c r="B12" s="44" t="s">
        <v>306</v>
      </c>
      <c r="C12" s="141">
        <f>+C13+C14</f>
        <v>36484949.880000003</v>
      </c>
      <c r="D12" s="141">
        <f>+D13+D14</f>
        <v>41138800</v>
      </c>
      <c r="E12" s="141">
        <f>+E13+E14</f>
        <v>45291400</v>
      </c>
      <c r="F12" s="141">
        <f>+F13+F14</f>
        <v>48924000</v>
      </c>
      <c r="G12" s="141">
        <f>+G13+G14</f>
        <v>52282600</v>
      </c>
    </row>
    <row r="13" spans="1:12" s="4" customFormat="1" ht="15" customHeight="1" x14ac:dyDescent="0.25">
      <c r="A13" s="154" t="s">
        <v>9</v>
      </c>
      <c r="B13" s="30" t="s">
        <v>15</v>
      </c>
      <c r="C13" s="164">
        <v>36407434.780000001</v>
      </c>
      <c r="D13" s="164">
        <v>41138800</v>
      </c>
      <c r="E13" s="164">
        <f>45041400+250000</f>
        <v>45291400</v>
      </c>
      <c r="F13" s="164">
        <v>48924000</v>
      </c>
      <c r="G13" s="164">
        <v>52282600</v>
      </c>
    </row>
    <row r="14" spans="1:12" s="4" customFormat="1" ht="15" customHeight="1" x14ac:dyDescent="0.25">
      <c r="A14" s="154" t="s">
        <v>9</v>
      </c>
      <c r="B14" s="30" t="s">
        <v>16</v>
      </c>
      <c r="C14" s="164">
        <v>77515.100000000006</v>
      </c>
      <c r="D14" s="164"/>
      <c r="E14" s="164"/>
      <c r="F14" s="164"/>
      <c r="G14" s="164"/>
    </row>
    <row r="15" spans="1:12" s="133" customFormat="1" ht="17.25" customHeight="1" x14ac:dyDescent="0.3">
      <c r="A15" s="69" t="s">
        <v>307</v>
      </c>
      <c r="B15" s="44" t="s">
        <v>308</v>
      </c>
      <c r="C15" s="165">
        <f>+C16+C17</f>
        <v>297759555.42000002</v>
      </c>
      <c r="D15" s="165">
        <f>+D16+D17</f>
        <v>342979458.99000001</v>
      </c>
      <c r="E15" s="165">
        <f>+E16+E17</f>
        <v>1146898400</v>
      </c>
      <c r="F15" s="165">
        <f>+F16+F17</f>
        <v>1158660800</v>
      </c>
      <c r="G15" s="165">
        <f>+G16+G17</f>
        <v>1168822400</v>
      </c>
    </row>
    <row r="16" spans="1:12" s="4" customFormat="1" ht="15" customHeight="1" x14ac:dyDescent="0.25">
      <c r="A16" s="154" t="s">
        <v>9</v>
      </c>
      <c r="B16" s="30" t="s">
        <v>15</v>
      </c>
      <c r="C16" s="164">
        <v>115847727.76000001</v>
      </c>
      <c r="D16" s="164">
        <v>131560300</v>
      </c>
      <c r="E16" s="164">
        <v>1146838200</v>
      </c>
      <c r="F16" s="164">
        <v>1158596400</v>
      </c>
      <c r="G16" s="164">
        <v>1168754700</v>
      </c>
    </row>
    <row r="17" spans="1:7" s="4" customFormat="1" ht="15" customHeight="1" x14ac:dyDescent="0.25">
      <c r="A17" s="154" t="s">
        <v>9</v>
      </c>
      <c r="B17" s="30" t="s">
        <v>16</v>
      </c>
      <c r="C17" s="164">
        <v>181911827.66</v>
      </c>
      <c r="D17" s="164">
        <v>211419158.99000001</v>
      </c>
      <c r="E17" s="164">
        <v>60200</v>
      </c>
      <c r="F17" s="164">
        <v>64400</v>
      </c>
      <c r="G17" s="164">
        <v>67700</v>
      </c>
    </row>
    <row r="18" spans="1:7" s="133" customFormat="1" ht="31.5" customHeight="1" x14ac:dyDescent="0.3">
      <c r="A18" s="69" t="s">
        <v>309</v>
      </c>
      <c r="B18" s="44" t="s">
        <v>310</v>
      </c>
      <c r="C18" s="165">
        <f>+C19+C20</f>
        <v>6872337871.7700005</v>
      </c>
      <c r="D18" s="165">
        <f>+D19+D20</f>
        <v>8084774053.1099997</v>
      </c>
      <c r="E18" s="165">
        <f>+E19+E20</f>
        <v>9977046133</v>
      </c>
      <c r="F18" s="165">
        <f>+F19+F20</f>
        <v>10736958419</v>
      </c>
      <c r="G18" s="165">
        <f>+G19+G20</f>
        <v>11557169290</v>
      </c>
    </row>
    <row r="19" spans="1:7" s="4" customFormat="1" ht="15" customHeight="1" x14ac:dyDescent="0.25">
      <c r="A19" s="154" t="s">
        <v>9</v>
      </c>
      <c r="B19" s="30" t="s">
        <v>15</v>
      </c>
      <c r="C19" s="164">
        <v>6215395048.79</v>
      </c>
      <c r="D19" s="164">
        <v>7536509400</v>
      </c>
      <c r="E19" s="164">
        <f>9665528560+100000000+136700</f>
        <v>9765665260</v>
      </c>
      <c r="F19" s="164">
        <f>10474500750+140000</f>
        <v>10474640750</v>
      </c>
      <c r="G19" s="164">
        <f>11186611090+143000</f>
        <v>11186754090</v>
      </c>
    </row>
    <row r="20" spans="1:7" s="4" customFormat="1" ht="15" customHeight="1" x14ac:dyDescent="0.25">
      <c r="A20" s="154" t="s">
        <v>9</v>
      </c>
      <c r="B20" s="30" t="s">
        <v>16</v>
      </c>
      <c r="C20" s="164">
        <v>656942822.98000002</v>
      </c>
      <c r="D20" s="164">
        <v>548264653.11000001</v>
      </c>
      <c r="E20" s="164">
        <f>154469723+56911150</f>
        <v>211380873</v>
      </c>
      <c r="F20" s="164">
        <f>166317669+96000000</f>
        <v>262317669</v>
      </c>
      <c r="G20" s="164">
        <f>176415200+194000000</f>
        <v>370415200</v>
      </c>
    </row>
    <row r="21" spans="1:7" s="133" customFormat="1" ht="36.75" customHeight="1" x14ac:dyDescent="0.3">
      <c r="A21" s="69" t="s">
        <v>311</v>
      </c>
      <c r="B21" s="44" t="s">
        <v>312</v>
      </c>
      <c r="C21" s="165">
        <f>+C22+C23</f>
        <v>965356452.9000001</v>
      </c>
      <c r="D21" s="165">
        <f>+D22+D23</f>
        <v>846798836.06999993</v>
      </c>
      <c r="E21" s="165">
        <f>+E22+E23</f>
        <v>777361080</v>
      </c>
      <c r="F21" s="165">
        <f>+F22+F23</f>
        <v>812661600</v>
      </c>
      <c r="G21" s="165">
        <f>+G22+G23</f>
        <v>918645900</v>
      </c>
    </row>
    <row r="22" spans="1:7" s="4" customFormat="1" ht="15" customHeight="1" x14ac:dyDescent="0.25">
      <c r="A22" s="154" t="s">
        <v>9</v>
      </c>
      <c r="B22" s="30" t="s">
        <v>15</v>
      </c>
      <c r="C22" s="164">
        <v>444616877.67000002</v>
      </c>
      <c r="D22" s="164">
        <v>563311568</v>
      </c>
      <c r="E22" s="164">
        <f>611573000+40000000+24086500+16720180+127000</f>
        <v>692506680</v>
      </c>
      <c r="F22" s="164">
        <f>662525100+136500</f>
        <v>662661600</v>
      </c>
      <c r="G22" s="164">
        <f>706801900+149200</f>
        <v>706951100</v>
      </c>
    </row>
    <row r="23" spans="1:7" s="4" customFormat="1" ht="15" customHeight="1" x14ac:dyDescent="0.25">
      <c r="A23" s="154" t="s">
        <v>9</v>
      </c>
      <c r="B23" s="30" t="s">
        <v>16</v>
      </c>
      <c r="C23" s="164">
        <v>520739575.23000002</v>
      </c>
      <c r="D23" s="164">
        <v>283487268.06999999</v>
      </c>
      <c r="E23" s="164">
        <v>84854400</v>
      </c>
      <c r="F23" s="164">
        <v>150000000</v>
      </c>
      <c r="G23" s="164">
        <v>211694800</v>
      </c>
    </row>
    <row r="24" spans="1:7" s="133" customFormat="1" ht="35.25" customHeight="1" x14ac:dyDescent="0.3">
      <c r="A24" s="69" t="s">
        <v>313</v>
      </c>
      <c r="B24" s="44" t="s">
        <v>314</v>
      </c>
      <c r="C24" s="165">
        <f>+C25+C26</f>
        <v>967987576.97000003</v>
      </c>
      <c r="D24" s="165">
        <f>+D25+D26</f>
        <v>934040623</v>
      </c>
      <c r="E24" s="165">
        <f>+E25+E26</f>
        <v>811718000</v>
      </c>
      <c r="F24" s="165">
        <f>+F25+F26</f>
        <v>872912200</v>
      </c>
      <c r="G24" s="165">
        <f>+G25+G26</f>
        <v>932840100</v>
      </c>
    </row>
    <row r="25" spans="1:7" s="4" customFormat="1" ht="15" customHeight="1" x14ac:dyDescent="0.25">
      <c r="A25" s="154" t="s">
        <v>9</v>
      </c>
      <c r="B25" s="30" t="s">
        <v>15</v>
      </c>
      <c r="C25" s="164">
        <v>672546738.58000004</v>
      </c>
      <c r="D25" s="164">
        <v>931031084</v>
      </c>
      <c r="E25" s="164">
        <f>802326400+1991500+7400100</f>
        <v>811718000</v>
      </c>
      <c r="F25" s="164">
        <v>868912200</v>
      </c>
      <c r="G25" s="164">
        <v>926840100</v>
      </c>
    </row>
    <row r="26" spans="1:7" s="4" customFormat="1" ht="15" customHeight="1" x14ac:dyDescent="0.25">
      <c r="A26" s="154" t="s">
        <v>9</v>
      </c>
      <c r="B26" s="30" t="s">
        <v>16</v>
      </c>
      <c r="C26" s="164">
        <v>295440838.38999999</v>
      </c>
      <c r="D26" s="164">
        <v>3009539</v>
      </c>
      <c r="E26" s="164"/>
      <c r="F26" s="164">
        <v>4000000</v>
      </c>
      <c r="G26" s="164">
        <v>6000000</v>
      </c>
    </row>
    <row r="27" spans="1:7" s="133" customFormat="1" ht="19.5" customHeight="1" x14ac:dyDescent="0.3">
      <c r="A27" s="69" t="s">
        <v>315</v>
      </c>
      <c r="B27" s="44" t="s">
        <v>316</v>
      </c>
      <c r="C27" s="165">
        <f>+C28+C29</f>
        <v>74246745.949999988</v>
      </c>
      <c r="D27" s="165">
        <f>+D28+D29</f>
        <v>78462400</v>
      </c>
      <c r="E27" s="165">
        <f>+E28+E29</f>
        <v>85073300</v>
      </c>
      <c r="F27" s="165">
        <f>+F28+F29</f>
        <v>92045200</v>
      </c>
      <c r="G27" s="165">
        <f>+G28+G29</f>
        <v>98481400</v>
      </c>
    </row>
    <row r="28" spans="1:7" s="4" customFormat="1" ht="15" customHeight="1" x14ac:dyDescent="0.25">
      <c r="A28" s="154" t="s">
        <v>9</v>
      </c>
      <c r="B28" s="30" t="s">
        <v>15</v>
      </c>
      <c r="C28" s="164">
        <v>73085626.599999994</v>
      </c>
      <c r="D28" s="164">
        <v>78462400</v>
      </c>
      <c r="E28" s="164">
        <f>84333300+400000+340000</f>
        <v>85073300</v>
      </c>
      <c r="F28" s="164">
        <f>91645200+400000</f>
        <v>92045200</v>
      </c>
      <c r="G28" s="164">
        <f>98031400+450000</f>
        <v>98481400</v>
      </c>
    </row>
    <row r="29" spans="1:7" s="4" customFormat="1" ht="15" customHeight="1" x14ac:dyDescent="0.25">
      <c r="A29" s="154" t="s">
        <v>9</v>
      </c>
      <c r="B29" s="30" t="s">
        <v>16</v>
      </c>
      <c r="C29" s="164">
        <v>1161119.3500000001</v>
      </c>
      <c r="D29" s="164"/>
      <c r="E29" s="164"/>
      <c r="F29" s="164"/>
      <c r="G29" s="164"/>
    </row>
    <row r="30" spans="1:7" s="133" customFormat="1" ht="33" customHeight="1" x14ac:dyDescent="0.3">
      <c r="A30" s="69" t="s">
        <v>317</v>
      </c>
      <c r="B30" s="44" t="s">
        <v>318</v>
      </c>
      <c r="C30" s="165">
        <f>+C31+C32</f>
        <v>611443974.95000005</v>
      </c>
      <c r="D30" s="165">
        <f>+D31+D32</f>
        <v>740764766.67999995</v>
      </c>
      <c r="E30" s="165">
        <f>+E31+E32</f>
        <v>855201979</v>
      </c>
      <c r="F30" s="165">
        <f>+F31+F32</f>
        <v>913111914</v>
      </c>
      <c r="G30" s="165">
        <f>+G31+G32</f>
        <v>979024041</v>
      </c>
    </row>
    <row r="31" spans="1:7" s="4" customFormat="1" ht="15" customHeight="1" x14ac:dyDescent="0.25">
      <c r="A31" s="154" t="s">
        <v>9</v>
      </c>
      <c r="B31" s="30" t="s">
        <v>15</v>
      </c>
      <c r="C31" s="164">
        <v>557562792.57000005</v>
      </c>
      <c r="D31" s="164">
        <v>701996666.67999995</v>
      </c>
      <c r="E31" s="164">
        <f>796592200+2251000+433900</f>
        <v>799277100</v>
      </c>
      <c r="F31" s="164">
        <f>863234500+440100</f>
        <v>863674600</v>
      </c>
      <c r="G31" s="164">
        <f>922164200+466500</f>
        <v>922630700</v>
      </c>
    </row>
    <row r="32" spans="1:7" s="4" customFormat="1" ht="15" customHeight="1" x14ac:dyDescent="0.25">
      <c r="A32" s="154" t="s">
        <v>9</v>
      </c>
      <c r="B32" s="30" t="s">
        <v>16</v>
      </c>
      <c r="C32" s="164">
        <v>53881182.380000003</v>
      </c>
      <c r="D32" s="164">
        <v>38768100</v>
      </c>
      <c r="E32" s="164">
        <f>27590429+28334450</f>
        <v>55924879</v>
      </c>
      <c r="F32" s="164">
        <f>29437314+20000000</f>
        <v>49437314</v>
      </c>
      <c r="G32" s="164">
        <f>31393341+25000000</f>
        <v>56393341</v>
      </c>
    </row>
    <row r="33" spans="1:7" s="133" customFormat="1" ht="19.5" customHeight="1" x14ac:dyDescent="0.3">
      <c r="A33" s="69" t="s">
        <v>319</v>
      </c>
      <c r="B33" s="44" t="s">
        <v>320</v>
      </c>
      <c r="C33" s="165">
        <f>+C34+C35</f>
        <v>268458285.65999997</v>
      </c>
      <c r="D33" s="165">
        <f>+D34+D35</f>
        <v>289826400</v>
      </c>
      <c r="E33" s="165">
        <f>+E34+E35</f>
        <v>336408300</v>
      </c>
      <c r="F33" s="165">
        <f>+F34+F35</f>
        <v>328148900</v>
      </c>
      <c r="G33" s="165">
        <f>+G34+G35</f>
        <v>350849700</v>
      </c>
    </row>
    <row r="34" spans="1:7" s="4" customFormat="1" ht="15" customHeight="1" x14ac:dyDescent="0.25">
      <c r="A34" s="154" t="s">
        <v>9</v>
      </c>
      <c r="B34" s="30" t="s">
        <v>15</v>
      </c>
      <c r="C34" s="164">
        <v>240285110.41</v>
      </c>
      <c r="D34" s="164">
        <v>273961945</v>
      </c>
      <c r="E34" s="164">
        <f>295836400+20000000</f>
        <v>315836400</v>
      </c>
      <c r="F34" s="164">
        <v>319531000</v>
      </c>
      <c r="G34" s="164">
        <v>340192100</v>
      </c>
    </row>
    <row r="35" spans="1:7" s="4" customFormat="1" ht="15" customHeight="1" x14ac:dyDescent="0.25">
      <c r="A35" s="154" t="s">
        <v>9</v>
      </c>
      <c r="B35" s="30" t="s">
        <v>16</v>
      </c>
      <c r="C35" s="164">
        <v>28173175.25</v>
      </c>
      <c r="D35" s="164">
        <v>15864455</v>
      </c>
      <c r="E35" s="164">
        <f>571900+20000000</f>
        <v>20571900</v>
      </c>
      <c r="F35" s="164">
        <f>617900+8000000</f>
        <v>8617900</v>
      </c>
      <c r="G35" s="164">
        <f>657600+10000000</f>
        <v>10657600</v>
      </c>
    </row>
    <row r="36" spans="1:7" s="133" customFormat="1" ht="32.25" customHeight="1" x14ac:dyDescent="0.3">
      <c r="A36" s="69" t="s">
        <v>321</v>
      </c>
      <c r="B36" s="44" t="s">
        <v>322</v>
      </c>
      <c r="C36" s="165">
        <f>+C37+C38</f>
        <v>3211638916.1300001</v>
      </c>
      <c r="D36" s="165">
        <f>+D37+D38</f>
        <v>2675671310.6900001</v>
      </c>
      <c r="E36" s="165">
        <f>+E37+E38</f>
        <v>1736584950</v>
      </c>
      <c r="F36" s="165">
        <f>+F37+F38</f>
        <v>1574460630</v>
      </c>
      <c r="G36" s="165">
        <f>+G37+G38</f>
        <v>2301648730</v>
      </c>
    </row>
    <row r="37" spans="1:7" s="4" customFormat="1" ht="15" customHeight="1" x14ac:dyDescent="0.25">
      <c r="A37" s="154" t="s">
        <v>9</v>
      </c>
      <c r="B37" s="30" t="s">
        <v>15</v>
      </c>
      <c r="C37" s="164">
        <f>1974394947.13+27601700</f>
        <v>2001996647.1300001</v>
      </c>
      <c r="D37" s="164">
        <v>1772322100</v>
      </c>
      <c r="E37" s="164">
        <f>847750700+2794800+182500+'[1]додаток 8+'!E17</f>
        <v>884034200</v>
      </c>
      <c r="F37" s="164">
        <f>1059444400+'[1]додаток 8+'!F17</f>
        <v>1095248600</v>
      </c>
      <c r="G37" s="164">
        <f>1123280900+'[1]додаток 8+'!G17</f>
        <v>1161197500</v>
      </c>
    </row>
    <row r="38" spans="1:7" s="4" customFormat="1" ht="15" customHeight="1" x14ac:dyDescent="0.25">
      <c r="A38" s="154" t="s">
        <v>9</v>
      </c>
      <c r="B38" s="30" t="s">
        <v>16</v>
      </c>
      <c r="C38" s="164">
        <f>1202268181+7374088</f>
        <v>1209642269</v>
      </c>
      <c r="D38" s="164">
        <f>893598620.69+9750590</f>
        <v>903349210.69000006</v>
      </c>
      <c r="E38" s="164">
        <f>223700000+618926100+9924650</f>
        <v>852550750</v>
      </c>
      <c r="F38" s="164">
        <f>340400000+126688000+12124030</f>
        <v>479212030</v>
      </c>
      <c r="G38" s="164">
        <f>228910000+897225300+14315930</f>
        <v>1140451230</v>
      </c>
    </row>
    <row r="39" spans="1:7" s="133" customFormat="1" ht="33.75" customHeight="1" x14ac:dyDescent="0.3">
      <c r="A39" s="69" t="s">
        <v>323</v>
      </c>
      <c r="B39" s="44" t="s">
        <v>324</v>
      </c>
      <c r="C39" s="165">
        <f>+C40+C41</f>
        <v>102256203.34999999</v>
      </c>
      <c r="D39" s="165">
        <f>+D40+D41</f>
        <v>133010700</v>
      </c>
      <c r="E39" s="165">
        <f>+E40+E41</f>
        <v>150568600</v>
      </c>
      <c r="F39" s="165">
        <f>+F40+F41</f>
        <v>158491000</v>
      </c>
      <c r="G39" s="165">
        <f>+G40+G41</f>
        <v>172811100</v>
      </c>
    </row>
    <row r="40" spans="1:7" s="4" customFormat="1" ht="15" customHeight="1" x14ac:dyDescent="0.25">
      <c r="A40" s="154" t="s">
        <v>9</v>
      </c>
      <c r="B40" s="30" t="s">
        <v>15</v>
      </c>
      <c r="C40" s="164">
        <v>96920684.049999997</v>
      </c>
      <c r="D40" s="164">
        <v>121704700</v>
      </c>
      <c r="E40" s="164">
        <f>132239600+329000</f>
        <v>132568600</v>
      </c>
      <c r="F40" s="164">
        <v>142291000</v>
      </c>
      <c r="G40" s="164">
        <v>150811100</v>
      </c>
    </row>
    <row r="41" spans="1:7" s="4" customFormat="1" ht="15" customHeight="1" x14ac:dyDescent="0.25">
      <c r="A41" s="154" t="s">
        <v>9</v>
      </c>
      <c r="B41" s="30" t="s">
        <v>16</v>
      </c>
      <c r="C41" s="164">
        <v>5335519.3</v>
      </c>
      <c r="D41" s="164">
        <v>11306000</v>
      </c>
      <c r="E41" s="164">
        <f>16000000+2000000</f>
        <v>18000000</v>
      </c>
      <c r="F41" s="164">
        <f>16000000+200000</f>
        <v>16200000</v>
      </c>
      <c r="G41" s="164">
        <f>16000000+6000000</f>
        <v>22000000</v>
      </c>
    </row>
    <row r="42" spans="1:7" s="133" customFormat="1" ht="28.5" customHeight="1" x14ac:dyDescent="0.3">
      <c r="A42" s="69" t="s">
        <v>325</v>
      </c>
      <c r="B42" s="44" t="s">
        <v>326</v>
      </c>
      <c r="C42" s="165">
        <f>+C43+C44</f>
        <v>0</v>
      </c>
      <c r="D42" s="165">
        <f>+D43+D44</f>
        <v>183100</v>
      </c>
      <c r="E42" s="165">
        <f>+E43+E44</f>
        <v>183100</v>
      </c>
      <c r="F42" s="165">
        <f>+F43+F44</f>
        <v>199400</v>
      </c>
      <c r="G42" s="165">
        <f>+G43+G44</f>
        <v>213500</v>
      </c>
    </row>
    <row r="43" spans="1:7" s="4" customFormat="1" ht="15" customHeight="1" x14ac:dyDescent="0.25">
      <c r="A43" s="154" t="s">
        <v>9</v>
      </c>
      <c r="B43" s="30" t="s">
        <v>15</v>
      </c>
      <c r="C43" s="164"/>
      <c r="D43" s="164">
        <v>183100</v>
      </c>
      <c r="E43" s="164">
        <v>183100</v>
      </c>
      <c r="F43" s="164">
        <v>199400</v>
      </c>
      <c r="G43" s="164">
        <v>213500</v>
      </c>
    </row>
    <row r="44" spans="1:7" s="4" customFormat="1" ht="15" customHeight="1" x14ac:dyDescent="0.25">
      <c r="A44" s="154" t="s">
        <v>9</v>
      </c>
      <c r="B44" s="30" t="s">
        <v>16</v>
      </c>
      <c r="C44" s="164"/>
      <c r="D44" s="164"/>
      <c r="E44" s="164"/>
      <c r="F44" s="164"/>
      <c r="G44" s="164"/>
    </row>
    <row r="45" spans="1:7" s="133" customFormat="1" ht="28.5" customHeight="1" x14ac:dyDescent="0.3">
      <c r="A45" s="69" t="s">
        <v>327</v>
      </c>
      <c r="B45" s="44" t="s">
        <v>328</v>
      </c>
      <c r="C45" s="165">
        <f>+C46+C47</f>
        <v>56756471.619999997</v>
      </c>
      <c r="D45" s="165">
        <f>+D46+D47</f>
        <v>104802600</v>
      </c>
      <c r="E45" s="165">
        <f>+E46+E47</f>
        <v>108667800</v>
      </c>
      <c r="F45" s="165">
        <f>+F46+F47</f>
        <v>89551300</v>
      </c>
      <c r="G45" s="165">
        <f>+G46+G47</f>
        <v>95053500</v>
      </c>
    </row>
    <row r="46" spans="1:7" s="4" customFormat="1" ht="15" customHeight="1" x14ac:dyDescent="0.25">
      <c r="A46" s="154" t="s">
        <v>9</v>
      </c>
      <c r="B46" s="30" t="s">
        <v>15</v>
      </c>
      <c r="C46" s="164">
        <v>54932646.43</v>
      </c>
      <c r="D46" s="164">
        <v>73097500</v>
      </c>
      <c r="E46" s="164">
        <f>78833800+834000</f>
        <v>79667800</v>
      </c>
      <c r="F46" s="164">
        <v>85251300</v>
      </c>
      <c r="G46" s="164">
        <v>90753500</v>
      </c>
    </row>
    <row r="47" spans="1:7" s="4" customFormat="1" ht="15" customHeight="1" x14ac:dyDescent="0.25">
      <c r="A47" s="154" t="s">
        <v>9</v>
      </c>
      <c r="B47" s="30" t="s">
        <v>16</v>
      </c>
      <c r="C47" s="164">
        <v>1823825.19</v>
      </c>
      <c r="D47" s="164">
        <v>31705100</v>
      </c>
      <c r="E47" s="164">
        <v>29000000</v>
      </c>
      <c r="F47" s="164">
        <v>4300000</v>
      </c>
      <c r="G47" s="164">
        <v>4300000</v>
      </c>
    </row>
    <row r="48" spans="1:7" s="133" customFormat="1" ht="18.75" customHeight="1" x14ac:dyDescent="0.3">
      <c r="A48" s="69" t="s">
        <v>329</v>
      </c>
      <c r="B48" s="44" t="s">
        <v>398</v>
      </c>
      <c r="C48" s="165">
        <f>+C49+C50</f>
        <v>13244312.210000001</v>
      </c>
      <c r="D48" s="165">
        <f>+D49+D50</f>
        <v>14603000</v>
      </c>
      <c r="E48" s="165">
        <f>+E49+E50</f>
        <v>14849600</v>
      </c>
      <c r="F48" s="165">
        <f>+F49+F50</f>
        <v>16153700</v>
      </c>
      <c r="G48" s="165">
        <f>+G49+G50</f>
        <v>17285700</v>
      </c>
    </row>
    <row r="49" spans="1:7" s="4" customFormat="1" ht="15" customHeight="1" x14ac:dyDescent="0.25">
      <c r="A49" s="154" t="s">
        <v>9</v>
      </c>
      <c r="B49" s="30" t="s">
        <v>15</v>
      </c>
      <c r="C49" s="164">
        <v>13244312.210000001</v>
      </c>
      <c r="D49" s="164">
        <v>14603000</v>
      </c>
      <c r="E49" s="164">
        <v>14849600</v>
      </c>
      <c r="F49" s="164">
        <v>16153700</v>
      </c>
      <c r="G49" s="164">
        <v>17285700</v>
      </c>
    </row>
    <row r="50" spans="1:7" s="4" customFormat="1" ht="15" customHeight="1" x14ac:dyDescent="0.25">
      <c r="A50" s="154" t="s">
        <v>9</v>
      </c>
      <c r="B50" s="30" t="s">
        <v>16</v>
      </c>
      <c r="C50" s="164"/>
      <c r="D50" s="164"/>
      <c r="E50" s="164"/>
      <c r="F50" s="164"/>
      <c r="G50" s="164"/>
    </row>
    <row r="51" spans="1:7" s="133" customFormat="1" ht="16.5" customHeight="1" x14ac:dyDescent="0.3">
      <c r="A51" s="69" t="s">
        <v>330</v>
      </c>
      <c r="B51" s="44" t="s">
        <v>331</v>
      </c>
      <c r="C51" s="165">
        <f>+C52+C53</f>
        <v>34834442.469999999</v>
      </c>
      <c r="D51" s="165">
        <f>+D52+D53</f>
        <v>65119699.68</v>
      </c>
      <c r="E51" s="165">
        <f>+E52+E53</f>
        <v>31129100</v>
      </c>
      <c r="F51" s="165">
        <f>+F52+F53</f>
        <v>32931600</v>
      </c>
      <c r="G51" s="165">
        <f>+G52+G53</f>
        <v>35146100</v>
      </c>
    </row>
    <row r="52" spans="1:7" s="4" customFormat="1" ht="15" customHeight="1" x14ac:dyDescent="0.25">
      <c r="A52" s="154" t="s">
        <v>9</v>
      </c>
      <c r="B52" s="30" t="s">
        <v>15</v>
      </c>
      <c r="C52" s="164">
        <v>21607969.399999999</v>
      </c>
      <c r="D52" s="164">
        <v>27953900</v>
      </c>
      <c r="E52" s="164">
        <f>30364800+764300</f>
        <v>31129100</v>
      </c>
      <c r="F52" s="164">
        <v>32931600</v>
      </c>
      <c r="G52" s="164">
        <v>35146100</v>
      </c>
    </row>
    <row r="53" spans="1:7" s="4" customFormat="1" ht="15" customHeight="1" x14ac:dyDescent="0.25">
      <c r="A53" s="154" t="s">
        <v>9</v>
      </c>
      <c r="B53" s="30" t="s">
        <v>16</v>
      </c>
      <c r="C53" s="164">
        <v>13226473.07</v>
      </c>
      <c r="D53" s="164">
        <v>37165799.68</v>
      </c>
      <c r="E53" s="164"/>
      <c r="F53" s="164"/>
      <c r="G53" s="164"/>
    </row>
    <row r="54" spans="1:7" s="133" customFormat="1" ht="31.5" customHeight="1" x14ac:dyDescent="0.3">
      <c r="A54" s="69" t="s">
        <v>332</v>
      </c>
      <c r="B54" s="44" t="s">
        <v>333</v>
      </c>
      <c r="C54" s="165">
        <f>+C55+C56</f>
        <v>1845684632.24</v>
      </c>
      <c r="D54" s="165">
        <f>+D55+D56</f>
        <v>2220558001.0500002</v>
      </c>
      <c r="E54" s="165">
        <f>+E55+E56</f>
        <v>2186715700</v>
      </c>
      <c r="F54" s="165">
        <f>+F55+F56</f>
        <v>2212423900</v>
      </c>
      <c r="G54" s="165">
        <f>+G55+G56</f>
        <v>2622744300</v>
      </c>
    </row>
    <row r="55" spans="1:7" s="4" customFormat="1" ht="15" customHeight="1" x14ac:dyDescent="0.25">
      <c r="A55" s="154" t="s">
        <v>9</v>
      </c>
      <c r="B55" s="30" t="s">
        <v>15</v>
      </c>
      <c r="C55" s="164">
        <v>1485081487.26</v>
      </c>
      <c r="D55" s="164">
        <v>1604081654</v>
      </c>
      <c r="E55" s="164">
        <f>1672593700+4941100+636900+4701300</f>
        <v>1682873000</v>
      </c>
      <c r="F55" s="164">
        <f>1798988700+5103900</f>
        <v>1804092600</v>
      </c>
      <c r="G55" s="164">
        <f>1906021000+5447400</f>
        <v>1911468400</v>
      </c>
    </row>
    <row r="56" spans="1:7" s="4" customFormat="1" ht="15" customHeight="1" x14ac:dyDescent="0.25">
      <c r="A56" s="154" t="s">
        <v>9</v>
      </c>
      <c r="B56" s="30" t="s">
        <v>16</v>
      </c>
      <c r="C56" s="164">
        <v>360603144.98000002</v>
      </c>
      <c r="D56" s="164">
        <v>616476347.04999995</v>
      </c>
      <c r="E56" s="164">
        <f>267200000+236642700</f>
        <v>503842700</v>
      </c>
      <c r="F56" s="164">
        <f>364100000+44231300</f>
        <v>408331300</v>
      </c>
      <c r="G56" s="164">
        <f>426510000+284765900</f>
        <v>711275900</v>
      </c>
    </row>
    <row r="57" spans="1:7" s="133" customFormat="1" ht="33.75" customHeight="1" x14ac:dyDescent="0.3">
      <c r="A57" s="69" t="s">
        <v>334</v>
      </c>
      <c r="B57" s="44" t="s">
        <v>335</v>
      </c>
      <c r="C57" s="165">
        <f>+C58+C59</f>
        <v>0</v>
      </c>
      <c r="D57" s="165">
        <f>+D58+D59</f>
        <v>44974335.659999996</v>
      </c>
      <c r="E57" s="165">
        <f>+E58+E59</f>
        <v>32409300</v>
      </c>
      <c r="F57" s="165">
        <f>+F58+F59</f>
        <v>28878500</v>
      </c>
      <c r="G57" s="165">
        <f>+G58+G59</f>
        <v>30905400</v>
      </c>
    </row>
    <row r="58" spans="1:7" s="4" customFormat="1" ht="15" customHeight="1" x14ac:dyDescent="0.25">
      <c r="A58" s="154" t="s">
        <v>9</v>
      </c>
      <c r="B58" s="30" t="s">
        <v>15</v>
      </c>
      <c r="C58" s="164"/>
      <c r="D58" s="164">
        <v>14974335.66</v>
      </c>
      <c r="E58" s="164">
        <f>26542000+5867300</f>
        <v>32409300</v>
      </c>
      <c r="F58" s="164">
        <v>28878500</v>
      </c>
      <c r="G58" s="164">
        <v>30905400</v>
      </c>
    </row>
    <row r="59" spans="1:7" s="4" customFormat="1" ht="15" customHeight="1" x14ac:dyDescent="0.25">
      <c r="A59" s="154" t="s">
        <v>9</v>
      </c>
      <c r="B59" s="30" t="s">
        <v>16</v>
      </c>
      <c r="C59" s="164"/>
      <c r="D59" s="164">
        <v>30000000</v>
      </c>
      <c r="E59" s="164"/>
      <c r="F59" s="164"/>
      <c r="G59" s="164"/>
    </row>
    <row r="60" spans="1:7" s="133" customFormat="1" ht="28.5" customHeight="1" x14ac:dyDescent="0.3">
      <c r="A60" s="69" t="s">
        <v>336</v>
      </c>
      <c r="B60" s="44" t="s">
        <v>337</v>
      </c>
      <c r="C60" s="165">
        <f>+C61+C62</f>
        <v>47515045.650000006</v>
      </c>
      <c r="D60" s="165">
        <f>+D61+D62</f>
        <v>51729500</v>
      </c>
      <c r="E60" s="165">
        <f>+E61+E62</f>
        <v>56707200</v>
      </c>
      <c r="F60" s="165">
        <f>+F61+F62</f>
        <v>61142400</v>
      </c>
      <c r="G60" s="165">
        <f>+G61+G62</f>
        <v>65292300</v>
      </c>
    </row>
    <row r="61" spans="1:7" s="4" customFormat="1" ht="15" customHeight="1" x14ac:dyDescent="0.25">
      <c r="A61" s="154" t="s">
        <v>9</v>
      </c>
      <c r="B61" s="30" t="s">
        <v>15</v>
      </c>
      <c r="C61" s="164">
        <v>46994605.200000003</v>
      </c>
      <c r="D61" s="164">
        <v>51729500</v>
      </c>
      <c r="E61" s="164">
        <f>56337200+370000</f>
        <v>56707200</v>
      </c>
      <c r="F61" s="164">
        <v>61142400</v>
      </c>
      <c r="G61" s="164">
        <v>65292300</v>
      </c>
    </row>
    <row r="62" spans="1:7" s="4" customFormat="1" ht="15" customHeight="1" x14ac:dyDescent="0.25">
      <c r="A62" s="154" t="s">
        <v>9</v>
      </c>
      <c r="B62" s="30" t="s">
        <v>16</v>
      </c>
      <c r="C62" s="164">
        <v>520440.45</v>
      </c>
      <c r="D62" s="164"/>
      <c r="E62" s="164"/>
      <c r="F62" s="164"/>
      <c r="G62" s="164"/>
    </row>
    <row r="63" spans="1:7" s="133" customFormat="1" ht="55.5" customHeight="1" x14ac:dyDescent="0.3">
      <c r="A63" s="69" t="s">
        <v>338</v>
      </c>
      <c r="B63" s="44" t="s">
        <v>339</v>
      </c>
      <c r="C63" s="165">
        <f>+C64+C65</f>
        <v>6114443.3899999997</v>
      </c>
      <c r="D63" s="165">
        <f>+D64+D65</f>
        <v>6979100</v>
      </c>
      <c r="E63" s="165">
        <f>+E64+E65</f>
        <v>7146900</v>
      </c>
      <c r="F63" s="165">
        <f>+F64+F65</f>
        <v>7607000</v>
      </c>
      <c r="G63" s="165">
        <f>+G64+G65</f>
        <v>8135500</v>
      </c>
    </row>
    <row r="64" spans="1:7" s="4" customFormat="1" ht="15" customHeight="1" x14ac:dyDescent="0.25">
      <c r="A64" s="154" t="s">
        <v>9</v>
      </c>
      <c r="B64" s="30" t="s">
        <v>15</v>
      </c>
      <c r="C64" s="164">
        <v>6114443.3899999997</v>
      </c>
      <c r="D64" s="164">
        <v>6979100</v>
      </c>
      <c r="E64" s="164">
        <f>6996900+150000</f>
        <v>7146900</v>
      </c>
      <c r="F64" s="164">
        <v>7607000</v>
      </c>
      <c r="G64" s="164">
        <v>8135500</v>
      </c>
    </row>
    <row r="65" spans="1:7" s="4" customFormat="1" ht="15" customHeight="1" x14ac:dyDescent="0.25">
      <c r="A65" s="154" t="s">
        <v>9</v>
      </c>
      <c r="B65" s="30" t="s">
        <v>16</v>
      </c>
      <c r="C65" s="164"/>
      <c r="D65" s="164"/>
      <c r="E65" s="164"/>
      <c r="F65" s="164"/>
      <c r="G65" s="164"/>
    </row>
    <row r="66" spans="1:7" s="133" customFormat="1" ht="18" customHeight="1" x14ac:dyDescent="0.3">
      <c r="A66" s="69" t="s">
        <v>340</v>
      </c>
      <c r="B66" s="44" t="s">
        <v>341</v>
      </c>
      <c r="C66" s="165">
        <f>+C67+C68</f>
        <v>70873080.75999999</v>
      </c>
      <c r="D66" s="165">
        <f>+D67+D68</f>
        <v>81949900</v>
      </c>
      <c r="E66" s="165">
        <f>+E67+E68</f>
        <v>84836100</v>
      </c>
      <c r="F66" s="165">
        <f>+F67+F68</f>
        <v>90976000</v>
      </c>
      <c r="G66" s="165">
        <f>+G67+G68</f>
        <v>97199100</v>
      </c>
    </row>
    <row r="67" spans="1:7" s="4" customFormat="1" ht="15" customHeight="1" x14ac:dyDescent="0.25">
      <c r="A67" s="154" t="s">
        <v>9</v>
      </c>
      <c r="B67" s="30" t="s">
        <v>15</v>
      </c>
      <c r="C67" s="164">
        <v>65275067.759999998</v>
      </c>
      <c r="D67" s="164">
        <v>80949900</v>
      </c>
      <c r="E67" s="164">
        <f>83577200+975400+283500</f>
        <v>84836100</v>
      </c>
      <c r="F67" s="164">
        <f>90692500+283500</f>
        <v>90976000</v>
      </c>
      <c r="G67" s="164">
        <f>96915600+283500</f>
        <v>97199100</v>
      </c>
    </row>
    <row r="68" spans="1:7" s="4" customFormat="1" ht="15" customHeight="1" x14ac:dyDescent="0.25">
      <c r="A68" s="154" t="s">
        <v>9</v>
      </c>
      <c r="B68" s="30" t="s">
        <v>16</v>
      </c>
      <c r="C68" s="164">
        <v>5598013</v>
      </c>
      <c r="D68" s="164">
        <v>1000000</v>
      </c>
      <c r="E68" s="164"/>
      <c r="F68" s="164"/>
      <c r="G68" s="164"/>
    </row>
    <row r="69" spans="1:7" s="133" customFormat="1" ht="35.25" customHeight="1" x14ac:dyDescent="0.3">
      <c r="A69" s="69" t="s">
        <v>342</v>
      </c>
      <c r="B69" s="44" t="s">
        <v>343</v>
      </c>
      <c r="C69" s="165">
        <f>+C70+C71</f>
        <v>19020582.390000001</v>
      </c>
      <c r="D69" s="165">
        <f>+D70+D71</f>
        <v>24798300</v>
      </c>
      <c r="E69" s="165">
        <f>+E70+E71</f>
        <v>26381000</v>
      </c>
      <c r="F69" s="165">
        <f>+F70+F71</f>
        <v>28621000</v>
      </c>
      <c r="G69" s="165">
        <f>+G70+G71</f>
        <v>30556200</v>
      </c>
    </row>
    <row r="70" spans="1:7" s="4" customFormat="1" ht="15" customHeight="1" x14ac:dyDescent="0.25">
      <c r="A70" s="154" t="s">
        <v>9</v>
      </c>
      <c r="B70" s="30" t="s">
        <v>15</v>
      </c>
      <c r="C70" s="164">
        <v>19020582.390000001</v>
      </c>
      <c r="D70" s="164">
        <v>24798300</v>
      </c>
      <c r="E70" s="164">
        <f>26291000+90000</f>
        <v>26381000</v>
      </c>
      <c r="F70" s="164">
        <f>28531000+90000</f>
        <v>28621000</v>
      </c>
      <c r="G70" s="164">
        <f>30466200+90000</f>
        <v>30556200</v>
      </c>
    </row>
    <row r="71" spans="1:7" s="4" customFormat="1" ht="15" customHeight="1" x14ac:dyDescent="0.25">
      <c r="A71" s="154" t="s">
        <v>9</v>
      </c>
      <c r="B71" s="30" t="s">
        <v>16</v>
      </c>
      <c r="C71" s="164"/>
      <c r="D71" s="164"/>
      <c r="E71" s="164"/>
      <c r="F71" s="164"/>
      <c r="G71" s="164"/>
    </row>
    <row r="72" spans="1:7" s="133" customFormat="1" ht="21.75" customHeight="1" x14ac:dyDescent="0.3">
      <c r="A72" s="69" t="s">
        <v>344</v>
      </c>
      <c r="B72" s="44" t="s">
        <v>345</v>
      </c>
      <c r="C72" s="165">
        <f>+C73+C74</f>
        <v>1625951099.9400001</v>
      </c>
      <c r="D72" s="165">
        <f>+D73+D74</f>
        <v>3070976908.8699999</v>
      </c>
      <c r="E72" s="165">
        <f>+E73+E74</f>
        <v>1060254000</v>
      </c>
      <c r="F72" s="165">
        <f>+F73+F74</f>
        <v>623670100</v>
      </c>
      <c r="G72" s="165">
        <f>+G73+G74</f>
        <v>627588900</v>
      </c>
    </row>
    <row r="73" spans="1:7" s="4" customFormat="1" ht="15" customHeight="1" x14ac:dyDescent="0.25">
      <c r="A73" s="154" t="s">
        <v>9</v>
      </c>
      <c r="B73" s="30" t="s">
        <v>15</v>
      </c>
      <c r="C73" s="164">
        <v>524796599.29000002</v>
      </c>
      <c r="D73" s="164">
        <v>948749769.53999996</v>
      </c>
      <c r="E73" s="164">
        <f>291317900+391400+5000000+1322500</f>
        <v>298031800</v>
      </c>
      <c r="F73" s="164">
        <f>313829900+1440200</f>
        <v>315270100</v>
      </c>
      <c r="G73" s="164">
        <f>332966400+1542500</f>
        <v>334508900</v>
      </c>
    </row>
    <row r="74" spans="1:7" s="4" customFormat="1" ht="15" customHeight="1" x14ac:dyDescent="0.25">
      <c r="A74" s="154" t="s">
        <v>9</v>
      </c>
      <c r="B74" s="30" t="s">
        <v>16</v>
      </c>
      <c r="C74" s="164">
        <v>1101154500.6500001</v>
      </c>
      <c r="D74" s="164">
        <v>2122227139.3299999</v>
      </c>
      <c r="E74" s="164">
        <f>241600000+520622200</f>
        <v>762222200</v>
      </c>
      <c r="F74" s="164">
        <f>272400000+36000000</f>
        <v>308400000</v>
      </c>
      <c r="G74" s="164">
        <f>278080000+15000000</f>
        <v>293080000</v>
      </c>
    </row>
    <row r="75" spans="1:7" s="133" customFormat="1" ht="33" customHeight="1" x14ac:dyDescent="0.3">
      <c r="A75" s="69" t="s">
        <v>346</v>
      </c>
      <c r="B75" s="44" t="s">
        <v>347</v>
      </c>
      <c r="C75" s="165">
        <f>+C76+C77</f>
        <v>160912589.94</v>
      </c>
      <c r="D75" s="165">
        <f>+D76+D77</f>
        <v>154421423</v>
      </c>
      <c r="E75" s="165">
        <f>+E76+E77</f>
        <v>152477500</v>
      </c>
      <c r="F75" s="165">
        <f>+F76+F77</f>
        <v>156896700</v>
      </c>
      <c r="G75" s="165">
        <f>+G76+G77</f>
        <v>177007200</v>
      </c>
    </row>
    <row r="76" spans="1:7" s="4" customFormat="1" ht="15" customHeight="1" x14ac:dyDescent="0.25">
      <c r="A76" s="154" t="s">
        <v>9</v>
      </c>
      <c r="B76" s="30" t="s">
        <v>15</v>
      </c>
      <c r="C76" s="164">
        <v>105742339.69</v>
      </c>
      <c r="D76" s="164">
        <v>128228545</v>
      </c>
      <c r="E76" s="164">
        <f>136287000+128500</f>
        <v>136415500</v>
      </c>
      <c r="F76" s="164">
        <f>147294700+140000</f>
        <v>147434700</v>
      </c>
      <c r="G76" s="164">
        <f>156795300+149900</f>
        <v>156945200</v>
      </c>
    </row>
    <row r="77" spans="1:7" s="4" customFormat="1" ht="15" customHeight="1" x14ac:dyDescent="0.25">
      <c r="A77" s="154" t="s">
        <v>9</v>
      </c>
      <c r="B77" s="30" t="s">
        <v>16</v>
      </c>
      <c r="C77" s="164">
        <v>55170250.25</v>
      </c>
      <c r="D77" s="164">
        <v>26192878</v>
      </c>
      <c r="E77" s="164">
        <f>7062000+9000000</f>
        <v>16062000</v>
      </c>
      <c r="F77" s="164">
        <f>7062000+2400000</f>
        <v>9462000</v>
      </c>
      <c r="G77" s="164">
        <f>7062000+13000000</f>
        <v>20062000</v>
      </c>
    </row>
    <row r="78" spans="1:7" s="133" customFormat="1" ht="33" customHeight="1" x14ac:dyDescent="0.3">
      <c r="A78" s="69" t="s">
        <v>348</v>
      </c>
      <c r="B78" s="44" t="s">
        <v>349</v>
      </c>
      <c r="C78" s="165">
        <f>+C79+C80</f>
        <v>16047820.689999999</v>
      </c>
      <c r="D78" s="165">
        <f>+D79+D80</f>
        <v>15727500</v>
      </c>
      <c r="E78" s="165">
        <f>+E79+E80</f>
        <v>21100500</v>
      </c>
      <c r="F78" s="165">
        <f>+F79+F80</f>
        <v>19344300</v>
      </c>
      <c r="G78" s="165">
        <f>+G79+G80</f>
        <v>23544500</v>
      </c>
    </row>
    <row r="79" spans="1:7" s="4" customFormat="1" ht="15" customHeight="1" x14ac:dyDescent="0.25">
      <c r="A79" s="154" t="s">
        <v>9</v>
      </c>
      <c r="B79" s="30" t="s">
        <v>15</v>
      </c>
      <c r="C79" s="164">
        <v>11047924.689999999</v>
      </c>
      <c r="D79" s="164">
        <v>13607500</v>
      </c>
      <c r="E79" s="164">
        <f>15960500+140000</f>
        <v>16100500</v>
      </c>
      <c r="F79" s="164">
        <v>17344300</v>
      </c>
      <c r="G79" s="164">
        <v>18544500</v>
      </c>
    </row>
    <row r="80" spans="1:7" s="4" customFormat="1" ht="15" customHeight="1" x14ac:dyDescent="0.25">
      <c r="A80" s="154" t="s">
        <v>9</v>
      </c>
      <c r="B80" s="30" t="s">
        <v>16</v>
      </c>
      <c r="C80" s="164">
        <v>4999896</v>
      </c>
      <c r="D80" s="164">
        <v>2120000</v>
      </c>
      <c r="E80" s="164">
        <v>5000000</v>
      </c>
      <c r="F80" s="164">
        <v>2000000</v>
      </c>
      <c r="G80" s="164">
        <v>5000000</v>
      </c>
    </row>
    <row r="81" spans="1:7" s="133" customFormat="1" ht="28.5" customHeight="1" x14ac:dyDescent="0.3">
      <c r="A81" s="69" t="s">
        <v>350</v>
      </c>
      <c r="B81" s="44" t="s">
        <v>351</v>
      </c>
      <c r="C81" s="165">
        <f>+C82+C83</f>
        <v>0</v>
      </c>
      <c r="D81" s="165">
        <f>+D82+D83</f>
        <v>11103900</v>
      </c>
      <c r="E81" s="165">
        <f>+E82+E83</f>
        <v>18369500</v>
      </c>
      <c r="F81" s="165">
        <f>+F82+F83</f>
        <v>19893700</v>
      </c>
      <c r="G81" s="165">
        <f>+G82+G83</f>
        <v>21229700</v>
      </c>
    </row>
    <row r="82" spans="1:7" s="4" customFormat="1" ht="15" customHeight="1" x14ac:dyDescent="0.25">
      <c r="A82" s="154" t="s">
        <v>9</v>
      </c>
      <c r="B82" s="30" t="s">
        <v>15</v>
      </c>
      <c r="C82" s="164"/>
      <c r="D82" s="164">
        <v>11103900</v>
      </c>
      <c r="E82" s="164">
        <f>18087500+282000</f>
        <v>18369500</v>
      </c>
      <c r="F82" s="164">
        <f>19633700+260000</f>
        <v>19893700</v>
      </c>
      <c r="G82" s="164">
        <f>20969700+260000</f>
        <v>21229700</v>
      </c>
    </row>
    <row r="83" spans="1:7" s="4" customFormat="1" ht="15" customHeight="1" x14ac:dyDescent="0.25">
      <c r="A83" s="154" t="s">
        <v>9</v>
      </c>
      <c r="B83" s="30" t="s">
        <v>16</v>
      </c>
      <c r="C83" s="164"/>
      <c r="D83" s="164"/>
      <c r="E83" s="164"/>
      <c r="F83" s="164"/>
      <c r="G83" s="164"/>
    </row>
    <row r="84" spans="1:7" s="133" customFormat="1" ht="32.25" customHeight="1" x14ac:dyDescent="0.3">
      <c r="A84" s="69" t="s">
        <v>352</v>
      </c>
      <c r="B84" s="44" t="s">
        <v>353</v>
      </c>
      <c r="C84" s="165">
        <f>+C85+C86</f>
        <v>23492651.02</v>
      </c>
      <c r="D84" s="165">
        <f>+D85+D86</f>
        <v>25259000</v>
      </c>
      <c r="E84" s="165">
        <f>+E85+E86</f>
        <v>27339500</v>
      </c>
      <c r="F84" s="165">
        <f>+F85+F86</f>
        <v>29495900</v>
      </c>
      <c r="G84" s="165">
        <f>+G85+G86</f>
        <v>31539500</v>
      </c>
    </row>
    <row r="85" spans="1:7" s="4" customFormat="1" ht="15" customHeight="1" x14ac:dyDescent="0.25">
      <c r="A85" s="154" t="s">
        <v>9</v>
      </c>
      <c r="B85" s="30" t="s">
        <v>15</v>
      </c>
      <c r="C85" s="164">
        <v>23293112.02</v>
      </c>
      <c r="D85" s="164">
        <v>25259000</v>
      </c>
      <c r="E85" s="164">
        <f>26939500+400000</f>
        <v>27339500</v>
      </c>
      <c r="F85" s="164">
        <f>29295900+200000</f>
        <v>29495900</v>
      </c>
      <c r="G85" s="164">
        <f>31339500+200000</f>
        <v>31539500</v>
      </c>
    </row>
    <row r="86" spans="1:7" s="4" customFormat="1" ht="15" customHeight="1" x14ac:dyDescent="0.25">
      <c r="A86" s="154" t="s">
        <v>9</v>
      </c>
      <c r="B86" s="30" t="s">
        <v>16</v>
      </c>
      <c r="C86" s="164">
        <v>199539</v>
      </c>
      <c r="D86" s="164"/>
      <c r="E86" s="164"/>
      <c r="F86" s="164"/>
      <c r="G86" s="164"/>
    </row>
    <row r="87" spans="1:7" s="133" customFormat="1" ht="17.25" customHeight="1" x14ac:dyDescent="0.3">
      <c r="A87" s="69" t="s">
        <v>354</v>
      </c>
      <c r="B87" s="44" t="s">
        <v>355</v>
      </c>
      <c r="C87" s="165">
        <f>+C88+C89</f>
        <v>713565396.38</v>
      </c>
      <c r="D87" s="165">
        <f>+D88+D89</f>
        <v>797872656.66999996</v>
      </c>
      <c r="E87" s="165">
        <f>+E88+E89</f>
        <v>906273600</v>
      </c>
      <c r="F87" s="165">
        <f>+F88+F89</f>
        <v>981268400</v>
      </c>
      <c r="G87" s="165">
        <f>+G88+G89</f>
        <v>1049778400</v>
      </c>
    </row>
    <row r="88" spans="1:7" s="4" customFormat="1" ht="15" customHeight="1" x14ac:dyDescent="0.25">
      <c r="A88" s="154" t="s">
        <v>9</v>
      </c>
      <c r="B88" s="30" t="s">
        <v>15</v>
      </c>
      <c r="C88" s="164">
        <v>616279671.98000002</v>
      </c>
      <c r="D88" s="164">
        <v>722003000</v>
      </c>
      <c r="E88" s="164">
        <f>834599400+2872000+67900</f>
        <v>837539300</v>
      </c>
      <c r="F88" s="164">
        <f>905455100+74100</f>
        <v>905529200</v>
      </c>
      <c r="G88" s="164">
        <f>967728100+78400</f>
        <v>967806500</v>
      </c>
    </row>
    <row r="89" spans="1:7" s="4" customFormat="1" ht="15" customHeight="1" x14ac:dyDescent="0.25">
      <c r="A89" s="154" t="s">
        <v>9</v>
      </c>
      <c r="B89" s="30" t="s">
        <v>16</v>
      </c>
      <c r="C89" s="164">
        <v>97285724.400000006</v>
      </c>
      <c r="D89" s="164">
        <v>75869656.670000002</v>
      </c>
      <c r="E89" s="164">
        <f>66734300+2000000</f>
        <v>68734300</v>
      </c>
      <c r="F89" s="164">
        <f>71739200+4000000</f>
        <v>75739200</v>
      </c>
      <c r="G89" s="164">
        <f>75971900+6000000</f>
        <v>81971900</v>
      </c>
    </row>
    <row r="90" spans="1:7" s="133" customFormat="1" ht="18.75" customHeight="1" x14ac:dyDescent="0.3">
      <c r="A90" s="69" t="s">
        <v>356</v>
      </c>
      <c r="B90" s="44" t="s">
        <v>357</v>
      </c>
      <c r="C90" s="165">
        <f>+C91+C92</f>
        <v>74122205.480000004</v>
      </c>
      <c r="D90" s="165">
        <f>+D91+D92</f>
        <v>65719000</v>
      </c>
      <c r="E90" s="165">
        <f>+E91+E92</f>
        <v>70886600</v>
      </c>
      <c r="F90" s="165">
        <f>+F91+F92</f>
        <v>72245600</v>
      </c>
      <c r="G90" s="165">
        <f>+G91+G92</f>
        <v>77260600</v>
      </c>
    </row>
    <row r="91" spans="1:7" s="4" customFormat="1" ht="15" customHeight="1" x14ac:dyDescent="0.25">
      <c r="A91" s="154" t="s">
        <v>9</v>
      </c>
      <c r="B91" s="30" t="s">
        <v>15</v>
      </c>
      <c r="C91" s="164">
        <v>62698097.630000003</v>
      </c>
      <c r="D91" s="164">
        <v>65719000</v>
      </c>
      <c r="E91" s="164">
        <f>66459000+3800000+627600</f>
        <v>70886600</v>
      </c>
      <c r="F91" s="164">
        <v>72245600</v>
      </c>
      <c r="G91" s="164">
        <v>77260600</v>
      </c>
    </row>
    <row r="92" spans="1:7" s="4" customFormat="1" ht="15" customHeight="1" x14ac:dyDescent="0.25">
      <c r="A92" s="154" t="s">
        <v>9</v>
      </c>
      <c r="B92" s="30" t="s">
        <v>16</v>
      </c>
      <c r="C92" s="164">
        <v>11424107.85</v>
      </c>
      <c r="D92" s="164"/>
      <c r="E92" s="164"/>
      <c r="F92" s="164"/>
      <c r="G92" s="164"/>
    </row>
    <row r="93" spans="1:7" s="133" customFormat="1" ht="32.25" customHeight="1" x14ac:dyDescent="0.3">
      <c r="A93" s="69" t="s">
        <v>358</v>
      </c>
      <c r="B93" s="44" t="s">
        <v>359</v>
      </c>
      <c r="C93" s="165">
        <f>+C94+C95</f>
        <v>110437984.83</v>
      </c>
      <c r="D93" s="165">
        <f>+D94+D95</f>
        <v>98180384</v>
      </c>
      <c r="E93" s="165">
        <f>+E94+E95</f>
        <v>112646300</v>
      </c>
      <c r="F93" s="165">
        <f>+F94+F95</f>
        <v>116014400</v>
      </c>
      <c r="G93" s="165">
        <f>+G94+G95</f>
        <v>123659400</v>
      </c>
    </row>
    <row r="94" spans="1:7" s="4" customFormat="1" ht="15" customHeight="1" x14ac:dyDescent="0.25">
      <c r="A94" s="154" t="s">
        <v>9</v>
      </c>
      <c r="B94" s="30" t="s">
        <v>15</v>
      </c>
      <c r="C94" s="164">
        <v>84535229.519999996</v>
      </c>
      <c r="D94" s="164">
        <v>92136500</v>
      </c>
      <c r="E94" s="164">
        <f>102122500+3523800</f>
        <v>105646300</v>
      </c>
      <c r="F94" s="164">
        <f>110943500+70900</f>
        <v>111014400</v>
      </c>
      <c r="G94" s="164">
        <f>118583500+75900</f>
        <v>118659400</v>
      </c>
    </row>
    <row r="95" spans="1:7" s="4" customFormat="1" ht="15" customHeight="1" x14ac:dyDescent="0.25">
      <c r="A95" s="154" t="s">
        <v>9</v>
      </c>
      <c r="B95" s="30" t="s">
        <v>16</v>
      </c>
      <c r="C95" s="164">
        <v>25902755.309999999</v>
      </c>
      <c r="D95" s="164">
        <v>6043884</v>
      </c>
      <c r="E95" s="164">
        <v>7000000</v>
      </c>
      <c r="F95" s="164">
        <v>5000000</v>
      </c>
      <c r="G95" s="164">
        <v>5000000</v>
      </c>
    </row>
    <row r="96" spans="1:7" s="133" customFormat="1" ht="32.25" customHeight="1" x14ac:dyDescent="0.3">
      <c r="A96" s="69" t="s">
        <v>360</v>
      </c>
      <c r="B96" s="44" t="s">
        <v>361</v>
      </c>
      <c r="C96" s="165">
        <f>+C97+C98</f>
        <v>7419661.9100000001</v>
      </c>
      <c r="D96" s="165">
        <f>+D97+D98</f>
        <v>11398307.35</v>
      </c>
      <c r="E96" s="165">
        <f>+E97+E98</f>
        <v>10044200</v>
      </c>
      <c r="F96" s="165">
        <f>+F97+F98</f>
        <v>10898500</v>
      </c>
      <c r="G96" s="165">
        <f>+G97+G98</f>
        <v>11636100</v>
      </c>
    </row>
    <row r="97" spans="1:7" s="4" customFormat="1" ht="15" customHeight="1" x14ac:dyDescent="0.25">
      <c r="A97" s="154" t="s">
        <v>9</v>
      </c>
      <c r="B97" s="30" t="s">
        <v>15</v>
      </c>
      <c r="C97" s="164">
        <v>7419661.9100000001</v>
      </c>
      <c r="D97" s="164">
        <v>8778000</v>
      </c>
      <c r="E97" s="164">
        <v>10044200</v>
      </c>
      <c r="F97" s="164">
        <v>10898500</v>
      </c>
      <c r="G97" s="164">
        <v>11636100</v>
      </c>
    </row>
    <row r="98" spans="1:7" s="4" customFormat="1" ht="15" customHeight="1" x14ac:dyDescent="0.25">
      <c r="A98" s="154" t="s">
        <v>9</v>
      </c>
      <c r="B98" s="30" t="s">
        <v>16</v>
      </c>
      <c r="C98" s="164"/>
      <c r="D98" s="164">
        <v>2620307.35</v>
      </c>
      <c r="E98" s="164"/>
      <c r="F98" s="164"/>
      <c r="G98" s="164"/>
    </row>
    <row r="99" spans="1:7" s="133" customFormat="1" ht="32.25" customHeight="1" x14ac:dyDescent="0.3">
      <c r="A99" s="69" t="s">
        <v>362</v>
      </c>
      <c r="B99" s="44" t="s">
        <v>363</v>
      </c>
      <c r="C99" s="165">
        <f>+C100+C101</f>
        <v>21767594.59</v>
      </c>
      <c r="D99" s="165">
        <f>+D100+D101</f>
        <v>30479700</v>
      </c>
      <c r="E99" s="165">
        <f>+E100+E101</f>
        <v>29681900</v>
      </c>
      <c r="F99" s="165">
        <f>+F100+F101</f>
        <v>28997000</v>
      </c>
      <c r="G99" s="165">
        <f>+G100+G101</f>
        <v>31004100</v>
      </c>
    </row>
    <row r="100" spans="1:7" s="4" customFormat="1" ht="15" customHeight="1" x14ac:dyDescent="0.25">
      <c r="A100" s="154" t="s">
        <v>9</v>
      </c>
      <c r="B100" s="30" t="s">
        <v>15</v>
      </c>
      <c r="C100" s="164">
        <v>21569615.59</v>
      </c>
      <c r="D100" s="164">
        <v>23901200</v>
      </c>
      <c r="E100" s="164">
        <f>26481900+3000000</f>
        <v>29481900</v>
      </c>
      <c r="F100" s="164">
        <v>28797000</v>
      </c>
      <c r="G100" s="164">
        <v>30804100</v>
      </c>
    </row>
    <row r="101" spans="1:7" s="4" customFormat="1" ht="15" customHeight="1" x14ac:dyDescent="0.25">
      <c r="A101" s="154" t="s">
        <v>9</v>
      </c>
      <c r="B101" s="30" t="s">
        <v>16</v>
      </c>
      <c r="C101" s="164">
        <v>197979</v>
      </c>
      <c r="D101" s="164">
        <v>6578500</v>
      </c>
      <c r="E101" s="164">
        <v>200000</v>
      </c>
      <c r="F101" s="164">
        <v>200000</v>
      </c>
      <c r="G101" s="164">
        <v>200000</v>
      </c>
    </row>
    <row r="102" spans="1:7" s="133" customFormat="1" ht="16.5" customHeight="1" x14ac:dyDescent="0.3">
      <c r="A102" s="69" t="s">
        <v>364</v>
      </c>
      <c r="B102" s="44" t="s">
        <v>365</v>
      </c>
      <c r="C102" s="165">
        <f>+C103+C104</f>
        <v>2088622347.1099999</v>
      </c>
      <c r="D102" s="165">
        <f>+D103+D104</f>
        <v>3681832988.4899998</v>
      </c>
      <c r="E102" s="165">
        <f>+E103+E104</f>
        <v>4474926283</v>
      </c>
      <c r="F102" s="165">
        <f>+F103+F104</f>
        <v>5058603677</v>
      </c>
      <c r="G102" s="165">
        <f>+G103+G104</f>
        <v>5282218146</v>
      </c>
    </row>
    <row r="103" spans="1:7" s="4" customFormat="1" ht="15" customHeight="1" x14ac:dyDescent="0.25">
      <c r="A103" s="154" t="s">
        <v>9</v>
      </c>
      <c r="B103" s="30" t="s">
        <v>15</v>
      </c>
      <c r="C103" s="164">
        <v>2088303843.26</v>
      </c>
      <c r="D103" s="164">
        <v>3322832988.4899998</v>
      </c>
      <c r="E103" s="153">
        <f>1153524400+300000000+200000-34702100+2350000+2687289700-81970+87435</f>
        <v>4108667465</v>
      </c>
      <c r="F103" s="164">
        <f>1064464200+300000000+200000-10231800+3215803400-30938-48938</f>
        <v>4570155924</v>
      </c>
      <c r="G103" s="164">
        <f>814224900+300000000+200000-10878900+3712056200-50820-58693</f>
        <v>4815492687</v>
      </c>
    </row>
    <row r="104" spans="1:7" s="4" customFormat="1" ht="15" customHeight="1" x14ac:dyDescent="0.25">
      <c r="A104" s="154" t="s">
        <v>9</v>
      </c>
      <c r="B104" s="30" t="s">
        <v>16</v>
      </c>
      <c r="C104" s="164">
        <v>318503.84999999998</v>
      </c>
      <c r="D104" s="164">
        <v>359000000</v>
      </c>
      <c r="E104" s="164">
        <v>366258818</v>
      </c>
      <c r="F104" s="164">
        <v>488447753</v>
      </c>
      <c r="G104" s="164">
        <v>466725459</v>
      </c>
    </row>
    <row r="105" spans="1:7" s="133" customFormat="1" ht="18" customHeight="1" x14ac:dyDescent="0.3">
      <c r="A105" s="69" t="s">
        <v>366</v>
      </c>
      <c r="B105" s="44" t="s">
        <v>367</v>
      </c>
      <c r="C105" s="165">
        <f>+C106+C107</f>
        <v>189745799.78999999</v>
      </c>
      <c r="D105" s="165">
        <f>+D106+D107</f>
        <v>223519377.77000001</v>
      </c>
      <c r="E105" s="165">
        <f>+E106+E107</f>
        <v>254298500</v>
      </c>
      <c r="F105" s="165">
        <f>+F106+F107</f>
        <v>243032950</v>
      </c>
      <c r="G105" s="165">
        <f>+G106+G107</f>
        <v>274151326</v>
      </c>
    </row>
    <row r="106" spans="1:7" s="4" customFormat="1" ht="15" customHeight="1" x14ac:dyDescent="0.25">
      <c r="A106" s="154" t="s">
        <v>9</v>
      </c>
      <c r="B106" s="30" t="s">
        <v>15</v>
      </c>
      <c r="C106" s="164">
        <v>174074347.06999999</v>
      </c>
      <c r="D106" s="164">
        <v>210472016.77000001</v>
      </c>
      <c r="E106" s="164">
        <f>243793200+857000-500000</f>
        <v>244150200</v>
      </c>
      <c r="F106" s="164">
        <v>240981400</v>
      </c>
      <c r="G106" s="164">
        <v>255579600</v>
      </c>
    </row>
    <row r="107" spans="1:7" s="4" customFormat="1" ht="15" customHeight="1" x14ac:dyDescent="0.25">
      <c r="A107" s="154" t="s">
        <v>9</v>
      </c>
      <c r="B107" s="30" t="s">
        <v>16</v>
      </c>
      <c r="C107" s="164">
        <v>15671452.720000001</v>
      </c>
      <c r="D107" s="164">
        <v>13047361</v>
      </c>
      <c r="E107" s="164">
        <v>10148300</v>
      </c>
      <c r="F107" s="164">
        <v>2051550</v>
      </c>
      <c r="G107" s="164">
        <v>18571726</v>
      </c>
    </row>
    <row r="108" spans="1:7" s="133" customFormat="1" ht="18" customHeight="1" x14ac:dyDescent="0.3">
      <c r="A108" s="69" t="s">
        <v>368</v>
      </c>
      <c r="B108" s="44" t="s">
        <v>369</v>
      </c>
      <c r="C108" s="165">
        <f>+C109+C110</f>
        <v>293094300.83000004</v>
      </c>
      <c r="D108" s="165">
        <f>+D109+D110</f>
        <v>331574054.63999999</v>
      </c>
      <c r="E108" s="165">
        <f>+E109+E110</f>
        <v>369376431</v>
      </c>
      <c r="F108" s="165">
        <f>+F109+F110</f>
        <v>358845773</v>
      </c>
      <c r="G108" s="165">
        <f>+G109+G110</f>
        <v>394363559</v>
      </c>
    </row>
    <row r="109" spans="1:7" s="4" customFormat="1" ht="15" customHeight="1" x14ac:dyDescent="0.25">
      <c r="A109" s="154" t="s">
        <v>9</v>
      </c>
      <c r="B109" s="30" t="s">
        <v>15</v>
      </c>
      <c r="C109" s="164">
        <v>260724597.08000001</v>
      </c>
      <c r="D109" s="164">
        <v>326904054.63999999</v>
      </c>
      <c r="E109" s="164">
        <f>356324600+1000000+3289000-1300000</f>
        <v>359313600</v>
      </c>
      <c r="F109" s="164">
        <v>356774800</v>
      </c>
      <c r="G109" s="164">
        <v>378236900</v>
      </c>
    </row>
    <row r="110" spans="1:7" s="4" customFormat="1" ht="15" customHeight="1" x14ac:dyDescent="0.25">
      <c r="A110" s="154" t="s">
        <v>9</v>
      </c>
      <c r="B110" s="30" t="s">
        <v>16</v>
      </c>
      <c r="C110" s="164">
        <v>32369703.75</v>
      </c>
      <c r="D110" s="164">
        <v>4670000</v>
      </c>
      <c r="E110" s="164">
        <v>10062831</v>
      </c>
      <c r="F110" s="164">
        <v>2070973</v>
      </c>
      <c r="G110" s="164">
        <v>16126659</v>
      </c>
    </row>
    <row r="111" spans="1:7" s="133" customFormat="1" ht="18" customHeight="1" x14ac:dyDescent="0.3">
      <c r="A111" s="69" t="s">
        <v>370</v>
      </c>
      <c r="B111" s="44" t="s">
        <v>371</v>
      </c>
      <c r="C111" s="165">
        <f>+C112++C113</f>
        <v>252656167.44999999</v>
      </c>
      <c r="D111" s="165">
        <f>+D112++D113</f>
        <v>278712893.39999998</v>
      </c>
      <c r="E111" s="165">
        <f>+E112++E113</f>
        <v>319770313</v>
      </c>
      <c r="F111" s="165">
        <f>+F112++F113</f>
        <v>311582538</v>
      </c>
      <c r="G111" s="165">
        <f>+G112++G113</f>
        <v>340625973</v>
      </c>
    </row>
    <row r="112" spans="1:7" s="4" customFormat="1" ht="15" customHeight="1" x14ac:dyDescent="0.25">
      <c r="A112" s="154" t="s">
        <v>9</v>
      </c>
      <c r="B112" s="30" t="s">
        <v>15</v>
      </c>
      <c r="C112" s="164">
        <v>221854721.87</v>
      </c>
      <c r="D112" s="164">
        <v>263416397.40000001</v>
      </c>
      <c r="E112" s="164">
        <f>307556100+1000000+615100</f>
        <v>309171200</v>
      </c>
      <c r="F112" s="164">
        <v>309546500</v>
      </c>
      <c r="G112" s="164">
        <v>328208200</v>
      </c>
    </row>
    <row r="113" spans="1:7" s="4" customFormat="1" ht="15" customHeight="1" x14ac:dyDescent="0.25">
      <c r="A113" s="154" t="s">
        <v>9</v>
      </c>
      <c r="B113" s="30" t="s">
        <v>16</v>
      </c>
      <c r="C113" s="164">
        <v>30801445.579999998</v>
      </c>
      <c r="D113" s="164">
        <v>15296496</v>
      </c>
      <c r="E113" s="164">
        <v>10599113</v>
      </c>
      <c r="F113" s="164">
        <v>2036038</v>
      </c>
      <c r="G113" s="164">
        <v>12417773</v>
      </c>
    </row>
    <row r="114" spans="1:7" s="133" customFormat="1" ht="19.5" customHeight="1" x14ac:dyDescent="0.3">
      <c r="A114" s="69" t="s">
        <v>372</v>
      </c>
      <c r="B114" s="44" t="s">
        <v>373</v>
      </c>
      <c r="C114" s="165">
        <f>+C115+C116</f>
        <v>230699600.03</v>
      </c>
      <c r="D114" s="165">
        <f>+D115+D116</f>
        <v>274635741.01999998</v>
      </c>
      <c r="E114" s="165">
        <f>+E115+E116</f>
        <v>302625420</v>
      </c>
      <c r="F114" s="165">
        <f>+F115+F116</f>
        <v>288889881</v>
      </c>
      <c r="G114" s="165">
        <f>+G115+G116</f>
        <v>318995709</v>
      </c>
    </row>
    <row r="115" spans="1:7" s="4" customFormat="1" ht="15" customHeight="1" x14ac:dyDescent="0.25">
      <c r="A115" s="154" t="s">
        <v>9</v>
      </c>
      <c r="B115" s="30" t="s">
        <v>15</v>
      </c>
      <c r="C115" s="164">
        <v>202078516.49000001</v>
      </c>
      <c r="D115" s="164">
        <v>244279141.02000001</v>
      </c>
      <c r="E115" s="164">
        <f>289175300+600000-250000</f>
        <v>289525300</v>
      </c>
      <c r="F115" s="164">
        <f>285447500+700000</f>
        <v>286147500</v>
      </c>
      <c r="G115" s="164">
        <f>302650000+750000</f>
        <v>303400000</v>
      </c>
    </row>
    <row r="116" spans="1:7" s="4" customFormat="1" ht="15" customHeight="1" x14ac:dyDescent="0.25">
      <c r="A116" s="154" t="s">
        <v>9</v>
      </c>
      <c r="B116" s="30" t="s">
        <v>16</v>
      </c>
      <c r="C116" s="164">
        <v>28621083.539999999</v>
      </c>
      <c r="D116" s="164">
        <v>30356600</v>
      </c>
      <c r="E116" s="164">
        <f>366600+12733520</f>
        <v>13100120</v>
      </c>
      <c r="F116" s="164">
        <f>366600+2375781</f>
        <v>2742381</v>
      </c>
      <c r="G116" s="164">
        <f>366600+15229109</f>
        <v>15595709</v>
      </c>
    </row>
    <row r="117" spans="1:7" s="133" customFormat="1" ht="17.25" customHeight="1" x14ac:dyDescent="0.3">
      <c r="A117" s="69" t="s">
        <v>374</v>
      </c>
      <c r="B117" s="44" t="s">
        <v>375</v>
      </c>
      <c r="C117" s="165">
        <f>+C118+C119</f>
        <v>316054407.92000002</v>
      </c>
      <c r="D117" s="165">
        <f>+D118+D119</f>
        <v>337806769.38999999</v>
      </c>
      <c r="E117" s="165">
        <f>+E118+E119</f>
        <v>372862558</v>
      </c>
      <c r="F117" s="165">
        <f>+F118+F119</f>
        <v>366999913</v>
      </c>
      <c r="G117" s="165">
        <f>+G118+G119</f>
        <v>399755250</v>
      </c>
    </row>
    <row r="118" spans="1:7" s="4" customFormat="1" ht="15" customHeight="1" x14ac:dyDescent="0.25">
      <c r="A118" s="154" t="s">
        <v>9</v>
      </c>
      <c r="B118" s="30" t="s">
        <v>15</v>
      </c>
      <c r="C118" s="164">
        <v>269560790.60000002</v>
      </c>
      <c r="D118" s="164">
        <v>309156769.38999999</v>
      </c>
      <c r="E118" s="164">
        <f>361081400+1000000+777000-300000</f>
        <v>362558400</v>
      </c>
      <c r="F118" s="164">
        <v>362789200</v>
      </c>
      <c r="G118" s="164">
        <v>384595700</v>
      </c>
    </row>
    <row r="119" spans="1:7" s="4" customFormat="1" ht="15" customHeight="1" x14ac:dyDescent="0.25">
      <c r="A119" s="154" t="s">
        <v>9</v>
      </c>
      <c r="B119" s="30" t="s">
        <v>16</v>
      </c>
      <c r="C119" s="164">
        <v>46493617.32</v>
      </c>
      <c r="D119" s="164">
        <v>28650000</v>
      </c>
      <c r="E119" s="164">
        <v>10304158</v>
      </c>
      <c r="F119" s="164">
        <v>4210713</v>
      </c>
      <c r="G119" s="164">
        <v>15159550</v>
      </c>
    </row>
    <row r="120" spans="1:7" s="133" customFormat="1" ht="18" customHeight="1" x14ac:dyDescent="0.3">
      <c r="A120" s="69" t="s">
        <v>376</v>
      </c>
      <c r="B120" s="44" t="s">
        <v>377</v>
      </c>
      <c r="C120" s="165">
        <f>+C121+C122</f>
        <v>248827387.85999998</v>
      </c>
      <c r="D120" s="165">
        <f>+D121+D122</f>
        <v>251218604.38</v>
      </c>
      <c r="E120" s="165">
        <f>+E121+E122</f>
        <v>299409378</v>
      </c>
      <c r="F120" s="165">
        <f>+F121+F122</f>
        <v>282465045</v>
      </c>
      <c r="G120" s="165">
        <f>+G121+G122</f>
        <v>316587383</v>
      </c>
    </row>
    <row r="121" spans="1:7" s="4" customFormat="1" ht="15" customHeight="1" x14ac:dyDescent="0.25">
      <c r="A121" s="154" t="s">
        <v>9</v>
      </c>
      <c r="B121" s="30" t="s">
        <v>15</v>
      </c>
      <c r="C121" s="164">
        <v>211869140.31999999</v>
      </c>
      <c r="D121" s="164">
        <v>238718604.38</v>
      </c>
      <c r="E121" s="164">
        <f>284257800+1000000+962200</f>
        <v>286220000</v>
      </c>
      <c r="F121" s="164">
        <v>280177400</v>
      </c>
      <c r="G121" s="164">
        <v>297083400</v>
      </c>
    </row>
    <row r="122" spans="1:7" s="4" customFormat="1" ht="15" customHeight="1" x14ac:dyDescent="0.25">
      <c r="A122" s="154" t="s">
        <v>9</v>
      </c>
      <c r="B122" s="30" t="s">
        <v>16</v>
      </c>
      <c r="C122" s="164">
        <v>36958247.539999999</v>
      </c>
      <c r="D122" s="164">
        <v>12500000</v>
      </c>
      <c r="E122" s="164">
        <v>13189378</v>
      </c>
      <c r="F122" s="164">
        <v>2287645</v>
      </c>
      <c r="G122" s="164">
        <v>19503983</v>
      </c>
    </row>
    <row r="123" spans="1:7" s="133" customFormat="1" ht="20.25" customHeight="1" x14ac:dyDescent="0.3">
      <c r="A123" s="69" t="s">
        <v>378</v>
      </c>
      <c r="B123" s="44" t="s">
        <v>379</v>
      </c>
      <c r="C123" s="165">
        <f>+C124+C125</f>
        <v>38075477.030000001</v>
      </c>
      <c r="D123" s="165">
        <f>+D124+D125</f>
        <v>45841743</v>
      </c>
      <c r="E123" s="165">
        <f>+E124+E125</f>
        <v>42372900</v>
      </c>
      <c r="F123" s="165">
        <f>+F124+F125</f>
        <v>44831500</v>
      </c>
      <c r="G123" s="165">
        <f>+G124+G125</f>
        <v>48597400</v>
      </c>
    </row>
    <row r="124" spans="1:7" s="4" customFormat="1" ht="15" customHeight="1" x14ac:dyDescent="0.25">
      <c r="A124" s="154" t="s">
        <v>9</v>
      </c>
      <c r="B124" s="30" t="s">
        <v>15</v>
      </c>
      <c r="C124" s="164">
        <v>34469990.200000003</v>
      </c>
      <c r="D124" s="164">
        <v>41242743</v>
      </c>
      <c r="E124" s="164">
        <f>41102300+370600</f>
        <v>41472900</v>
      </c>
      <c r="F124" s="164">
        <f>44381700+349800</f>
        <v>44731500</v>
      </c>
      <c r="G124" s="164">
        <f>47221700+375700</f>
        <v>47597400</v>
      </c>
    </row>
    <row r="125" spans="1:7" s="4" customFormat="1" ht="15" customHeight="1" x14ac:dyDescent="0.25">
      <c r="A125" s="154" t="s">
        <v>9</v>
      </c>
      <c r="B125" s="30" t="s">
        <v>16</v>
      </c>
      <c r="C125" s="164">
        <v>3605486.83</v>
      </c>
      <c r="D125" s="164">
        <v>4599000</v>
      </c>
      <c r="E125" s="164">
        <v>900000</v>
      </c>
      <c r="F125" s="164">
        <v>100000</v>
      </c>
      <c r="G125" s="164">
        <v>1000000</v>
      </c>
    </row>
    <row r="126" spans="1:7" s="133" customFormat="1" ht="33.75" customHeight="1" x14ac:dyDescent="0.3">
      <c r="A126" s="69" t="s">
        <v>380</v>
      </c>
      <c r="B126" s="44" t="s">
        <v>381</v>
      </c>
      <c r="C126" s="165">
        <f>+C127+C128</f>
        <v>2458331.5099999998</v>
      </c>
      <c r="D126" s="165">
        <f>+D127+D128</f>
        <v>4879100</v>
      </c>
      <c r="E126" s="165">
        <f>+E127+E128</f>
        <v>5554800</v>
      </c>
      <c r="F126" s="165">
        <f>+F127+F128</f>
        <v>5868800</v>
      </c>
      <c r="G126" s="165">
        <f>+G127+G128</f>
        <v>6280100</v>
      </c>
    </row>
    <row r="127" spans="1:7" s="4" customFormat="1" ht="15" customHeight="1" x14ac:dyDescent="0.25">
      <c r="A127" s="154" t="s">
        <v>9</v>
      </c>
      <c r="B127" s="30" t="s">
        <v>15</v>
      </c>
      <c r="C127" s="164">
        <v>2393339.5099999998</v>
      </c>
      <c r="D127" s="164">
        <v>4879100</v>
      </c>
      <c r="E127" s="164">
        <f>5208200+346600</f>
        <v>5554800</v>
      </c>
      <c r="F127" s="164">
        <f>5666000+202800</f>
        <v>5868800</v>
      </c>
      <c r="G127" s="164">
        <f>6063200+216900</f>
        <v>6280100</v>
      </c>
    </row>
    <row r="128" spans="1:7" s="4" customFormat="1" ht="15" customHeight="1" x14ac:dyDescent="0.25">
      <c r="A128" s="154" t="s">
        <v>9</v>
      </c>
      <c r="B128" s="30" t="s">
        <v>16</v>
      </c>
      <c r="C128" s="164">
        <v>64992</v>
      </c>
      <c r="D128" s="164"/>
      <c r="E128" s="164"/>
      <c r="F128" s="164"/>
      <c r="G128" s="164"/>
    </row>
    <row r="129" spans="1:7" s="133" customFormat="1" ht="15" customHeight="1" x14ac:dyDescent="0.3">
      <c r="A129" s="69" t="s">
        <v>9</v>
      </c>
      <c r="B129" s="44" t="s">
        <v>35</v>
      </c>
      <c r="C129" s="165">
        <f t="shared" ref="C129:G131" si="0">+C12+C15+C18+C21+C24+C27+C30+C33+C36+C39+C42+C45+C48+C51+C54+C57+C60+C63+C66+C69+C72+C75+C78+C81+C84+C87+C90+C93+C96+C99+C102+C105+C108+C111+C114+C117+C120+C123+C126</f>
        <v>21915964368.02</v>
      </c>
      <c r="D129" s="165">
        <f>+D12+D15+D18+D21+D24+D27+D30+D33+D36+D39+D42+D45+D48+D51+D54+D57+D60+D63+D66+D69+D72+D75+D78+D81+D84+D87+D90+D93+D96+D99+D102+D105+D108+D111+D114+D117+D120+D123+D126</f>
        <v>26494324936.91</v>
      </c>
      <c r="E129" s="165">
        <f t="shared" si="0"/>
        <v>27321448125</v>
      </c>
      <c r="F129" s="165">
        <f t="shared" si="0"/>
        <v>28284704140</v>
      </c>
      <c r="G129" s="165">
        <f t="shared" si="0"/>
        <v>31090930107</v>
      </c>
    </row>
    <row r="130" spans="1:7" s="169" customFormat="1" ht="15" customHeight="1" x14ac:dyDescent="0.3">
      <c r="A130" s="166" t="s">
        <v>9</v>
      </c>
      <c r="B130" s="167" t="s">
        <v>15</v>
      </c>
      <c r="C130" s="168">
        <f t="shared" si="0"/>
        <v>17089647341.100002</v>
      </c>
      <c r="D130" s="168">
        <f t="shared" si="0"/>
        <v>21052737482.970005</v>
      </c>
      <c r="E130" s="168">
        <f>+E13+E16+E19+E22+E25+E28+E31+E34+E37+E40+E43+E46+E49+E52+E55+E58+E61+E64+E67+E70+E73+E76+E79+E82+E85+E88+E91+E94+E97+E100+E103+E106+E109+E112+E115+E118+E121+E124+E127</f>
        <v>24251481205</v>
      </c>
      <c r="F130" s="168">
        <f t="shared" si="0"/>
        <v>25997475274</v>
      </c>
      <c r="G130" s="168">
        <f t="shared" si="0"/>
        <v>27587259577</v>
      </c>
    </row>
    <row r="131" spans="1:7" s="169" customFormat="1" ht="15" customHeight="1" x14ac:dyDescent="0.3">
      <c r="A131" s="170" t="s">
        <v>9</v>
      </c>
      <c r="B131" s="68" t="s">
        <v>16</v>
      </c>
      <c r="C131" s="171">
        <f>+C14+C17+C20+C23+C26+C29+C32+C35+C38+C41+C44+C47+C50+C53+C56+C59+C62+C65+C68+C71+C74+C77+C80+C83+C86+C89+C92+C95+C98+C101+C104+C107+C110+C113+C116+C119+C122+C125+C128</f>
        <v>4826317026.920001</v>
      </c>
      <c r="D131" s="171">
        <f t="shared" si="0"/>
        <v>5441587453.9400005</v>
      </c>
      <c r="E131" s="171">
        <f>+E14+E17+E20+E23+E26+E29+E32+E35+E38+E41+E44+E47+E50+E53+E56+E59+E62+E65+E68+E71+E74+E77+E80+E83+E86+E89+E92+E95+E98+E101+E104+E107+E110+E113+E116+E119+E122+E125+E128</f>
        <v>3069966920</v>
      </c>
      <c r="F131" s="171">
        <f t="shared" si="0"/>
        <v>2287228866</v>
      </c>
      <c r="G131" s="171">
        <f t="shared" si="0"/>
        <v>3503670530</v>
      </c>
    </row>
    <row r="132" spans="1:7" s="46" customFormat="1" ht="15" x14ac:dyDescent="0.25">
      <c r="C132" s="163"/>
      <c r="D132" s="163"/>
      <c r="E132" s="163"/>
      <c r="F132" s="163"/>
      <c r="G132" s="163"/>
    </row>
    <row r="133" spans="1:7" s="46" customFormat="1" ht="64.8" customHeight="1" x14ac:dyDescent="0.25">
      <c r="C133" s="134"/>
      <c r="F133" s="134"/>
    </row>
    <row r="134" spans="1:7" ht="17.399999999999999" x14ac:dyDescent="0.25">
      <c r="A134" s="33" t="s">
        <v>167</v>
      </c>
      <c r="B134" s="34"/>
      <c r="C134" s="35"/>
      <c r="D134" s="36"/>
      <c r="E134" s="36" t="s">
        <v>168</v>
      </c>
    </row>
    <row r="135" spans="1:7" ht="38.4" customHeight="1" x14ac:dyDescent="0.3">
      <c r="A135" s="36"/>
      <c r="B135" s="34"/>
      <c r="C135" s="34"/>
      <c r="D135" s="37"/>
      <c r="E135" s="37"/>
      <c r="F135" s="22"/>
      <c r="G135" s="22"/>
    </row>
    <row r="136" spans="1:7" ht="17.399999999999999" x14ac:dyDescent="0.3">
      <c r="A136" s="38" t="s">
        <v>169</v>
      </c>
      <c r="B136" s="38"/>
      <c r="C136" s="38"/>
      <c r="D136" s="39"/>
      <c r="E136" s="39"/>
      <c r="F136" s="22"/>
      <c r="G136" s="22"/>
    </row>
    <row r="137" spans="1:7" ht="17.399999999999999" x14ac:dyDescent="0.3">
      <c r="A137" s="38" t="s">
        <v>170</v>
      </c>
      <c r="B137" s="38"/>
      <c r="C137" s="38"/>
      <c r="D137" s="39"/>
      <c r="E137" s="39" t="s">
        <v>171</v>
      </c>
      <c r="F137" s="22"/>
      <c r="G137" s="22"/>
    </row>
    <row r="138" spans="1:7" ht="50.4" customHeight="1" x14ac:dyDescent="0.3">
      <c r="A138" s="38"/>
      <c r="B138" s="38"/>
      <c r="C138" s="38"/>
      <c r="D138" s="39"/>
      <c r="E138" s="39"/>
      <c r="F138" s="22"/>
      <c r="G138" s="22"/>
    </row>
    <row r="139" spans="1:7" ht="17.399999999999999" x14ac:dyDescent="0.3">
      <c r="A139" s="40" t="s">
        <v>172</v>
      </c>
      <c r="B139" s="40"/>
      <c r="C139" s="40"/>
      <c r="D139" s="38"/>
      <c r="E139" s="38"/>
      <c r="F139" s="22"/>
      <c r="G139" s="22"/>
    </row>
    <row r="140" spans="1:7" ht="17.399999999999999" x14ac:dyDescent="0.3">
      <c r="A140" s="36" t="s">
        <v>173</v>
      </c>
      <c r="B140" s="36"/>
      <c r="C140" s="36"/>
      <c r="D140" s="39"/>
      <c r="E140" s="39" t="s">
        <v>174</v>
      </c>
      <c r="F140" s="22"/>
      <c r="G140" s="22"/>
    </row>
    <row r="141" spans="1:7" x14ac:dyDescent="0.25">
      <c r="C141" s="22"/>
      <c r="D141" s="22"/>
      <c r="E141" s="22"/>
      <c r="F141" s="22"/>
      <c r="G141" s="22"/>
    </row>
    <row r="143" spans="1:7" x14ac:dyDescent="0.25">
      <c r="C143" s="22"/>
      <c r="D143" s="22"/>
      <c r="E143" s="22"/>
      <c r="F143" s="22"/>
      <c r="G143" s="22"/>
    </row>
    <row r="144" spans="1:7" x14ac:dyDescent="0.25">
      <c r="D144" s="22"/>
    </row>
    <row r="145" spans="3:7" x14ac:dyDescent="0.25">
      <c r="C145" s="55"/>
    </row>
    <row r="147" spans="3:7" x14ac:dyDescent="0.25">
      <c r="C147" s="55"/>
      <c r="D147" s="55"/>
      <c r="E147" s="55"/>
      <c r="F147" s="55"/>
      <c r="G147" s="55"/>
    </row>
    <row r="148" spans="3:7" x14ac:dyDescent="0.25">
      <c r="C148" s="55"/>
      <c r="D148" s="55"/>
      <c r="E148" s="55"/>
      <c r="F148" s="55"/>
      <c r="G148" s="55"/>
    </row>
    <row r="149" spans="3:7" x14ac:dyDescent="0.25">
      <c r="C149" s="55"/>
      <c r="D149" s="55"/>
      <c r="E149" s="55"/>
      <c r="F149" s="55"/>
      <c r="G149" s="55"/>
    </row>
  </sheetData>
  <mergeCells count="12">
    <mergeCell ref="F1:G1"/>
    <mergeCell ref="F2:G2"/>
    <mergeCell ref="A9:A10"/>
    <mergeCell ref="B9:B10"/>
    <mergeCell ref="A4:G4"/>
    <mergeCell ref="A6:B6"/>
    <mergeCell ref="A7:B7"/>
    <mergeCell ref="C9:C10"/>
    <mergeCell ref="D9:D10"/>
    <mergeCell ref="E9:E10"/>
    <mergeCell ref="F9:F10"/>
    <mergeCell ref="G9:G10"/>
  </mergeCells>
  <printOptions horizontalCentered="1"/>
  <pageMargins left="0.39370078740157483" right="0.39370078740157483" top="0.98425196850393704" bottom="0.31496062992125984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80" zoomScaleNormal="80" zoomScaleSheetLayoutView="100" workbookViewId="0"/>
  </sheetViews>
  <sheetFormatPr defaultColWidth="9.109375" defaultRowHeight="13.8" x14ac:dyDescent="0.25"/>
  <cols>
    <col min="1" max="1" width="9.88671875" style="10" customWidth="1"/>
    <col min="2" max="2" width="77.44140625" style="10" customWidth="1"/>
    <col min="3" max="3" width="22.88671875" style="10" customWidth="1"/>
    <col min="4" max="4" width="22.6640625" style="10" customWidth="1"/>
    <col min="5" max="5" width="18.5546875" style="10" customWidth="1"/>
    <col min="6" max="7" width="21.33203125" style="10" customWidth="1"/>
    <col min="8" max="16384" width="9.109375" style="10"/>
  </cols>
  <sheetData>
    <row r="1" spans="1:7" ht="18.600000000000001" customHeight="1" x14ac:dyDescent="0.35">
      <c r="A1" s="6"/>
      <c r="B1" s="18"/>
      <c r="C1" s="18"/>
      <c r="D1" s="18"/>
      <c r="E1" s="18"/>
      <c r="F1" s="275" t="s">
        <v>189</v>
      </c>
      <c r="G1" s="276"/>
    </row>
    <row r="2" spans="1:7" ht="0.6" customHeight="1" x14ac:dyDescent="0.35">
      <c r="A2" s="6"/>
      <c r="B2" s="18"/>
      <c r="C2" s="18"/>
      <c r="D2" s="18"/>
      <c r="E2" s="18"/>
      <c r="F2" s="230" t="s">
        <v>249</v>
      </c>
      <c r="G2" s="277"/>
    </row>
    <row r="3" spans="1:7" ht="85.8" customHeight="1" x14ac:dyDescent="0.3">
      <c r="A3" s="6"/>
      <c r="B3" s="18"/>
      <c r="C3" s="18"/>
      <c r="D3" s="18"/>
      <c r="E3" s="18"/>
      <c r="F3" s="280" t="s">
        <v>249</v>
      </c>
      <c r="G3" s="280"/>
    </row>
    <row r="4" spans="1:7" ht="19.8" customHeight="1" x14ac:dyDescent="0.3">
      <c r="A4" s="245" t="s">
        <v>181</v>
      </c>
      <c r="B4" s="245"/>
      <c r="C4" s="245"/>
      <c r="D4" s="245"/>
      <c r="E4" s="245"/>
      <c r="F4" s="245"/>
      <c r="G4" s="245"/>
    </row>
    <row r="5" spans="1:7" ht="17.399999999999999" x14ac:dyDescent="0.3">
      <c r="A5" s="245" t="s">
        <v>24</v>
      </c>
      <c r="B5" s="245"/>
      <c r="C5" s="245"/>
      <c r="D5" s="245"/>
      <c r="E5" s="245"/>
      <c r="F5" s="245"/>
      <c r="G5" s="245"/>
    </row>
    <row r="6" spans="1:7" ht="17.399999999999999" customHeight="1" x14ac:dyDescent="0.3">
      <c r="A6" s="57"/>
      <c r="B6" s="57"/>
      <c r="C6" s="57"/>
      <c r="D6" s="57"/>
      <c r="E6" s="57"/>
      <c r="F6" s="57"/>
      <c r="G6" s="57"/>
    </row>
    <row r="7" spans="1:7" ht="17.399999999999999" x14ac:dyDescent="0.3">
      <c r="A7" s="235">
        <v>1356300000</v>
      </c>
      <c r="B7" s="235"/>
      <c r="C7" s="18"/>
      <c r="D7" s="18"/>
      <c r="E7" s="18"/>
      <c r="F7" s="18"/>
      <c r="G7" s="18"/>
    </row>
    <row r="8" spans="1:7" ht="15" customHeight="1" x14ac:dyDescent="0.25">
      <c r="A8" s="236" t="s">
        <v>0</v>
      </c>
      <c r="B8" s="236"/>
      <c r="C8" s="46"/>
      <c r="D8" s="46"/>
      <c r="E8" s="46"/>
      <c r="F8" s="46"/>
      <c r="G8" s="46"/>
    </row>
    <row r="9" spans="1:7" ht="15.6" x14ac:dyDescent="0.3">
      <c r="A9" s="254" t="s">
        <v>11</v>
      </c>
      <c r="B9" s="254"/>
      <c r="C9" s="254"/>
      <c r="D9" s="254"/>
      <c r="E9" s="254"/>
      <c r="F9" s="254"/>
      <c r="G9" s="254"/>
    </row>
    <row r="10" spans="1:7" x14ac:dyDescent="0.25">
      <c r="A10" s="278" t="s">
        <v>12</v>
      </c>
      <c r="B10" s="278" t="s">
        <v>3</v>
      </c>
      <c r="C10" s="247" t="s">
        <v>250</v>
      </c>
      <c r="D10" s="247" t="s">
        <v>251</v>
      </c>
      <c r="E10" s="247" t="s">
        <v>95</v>
      </c>
      <c r="F10" s="247" t="s">
        <v>96</v>
      </c>
      <c r="G10" s="247" t="s">
        <v>252</v>
      </c>
    </row>
    <row r="11" spans="1:7" ht="19.2" customHeight="1" x14ac:dyDescent="0.25">
      <c r="A11" s="279"/>
      <c r="B11" s="279"/>
      <c r="C11" s="247"/>
      <c r="D11" s="247"/>
      <c r="E11" s="247"/>
      <c r="F11" s="247"/>
      <c r="G11" s="247"/>
    </row>
    <row r="12" spans="1:7" ht="15" x14ac:dyDescent="0.25">
      <c r="A12" s="42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</row>
    <row r="13" spans="1:7" s="56" customFormat="1" ht="15.6" x14ac:dyDescent="0.3">
      <c r="A13" s="63" t="s">
        <v>48</v>
      </c>
      <c r="B13" s="64" t="s">
        <v>25</v>
      </c>
      <c r="C13" s="119">
        <f>C14+C15</f>
        <v>1155744215</v>
      </c>
      <c r="D13" s="119">
        <f t="shared" ref="D13:G13" si="0">D14+D15</f>
        <v>1448554596</v>
      </c>
      <c r="E13" s="119">
        <f t="shared" si="0"/>
        <v>1645223665</v>
      </c>
      <c r="F13" s="119">
        <f t="shared" si="0"/>
        <v>1762002624</v>
      </c>
      <c r="G13" s="119">
        <f t="shared" si="0"/>
        <v>1873233687</v>
      </c>
    </row>
    <row r="14" spans="1:7" ht="15" x14ac:dyDescent="0.25">
      <c r="A14" s="58" t="s">
        <v>9</v>
      </c>
      <c r="B14" s="9" t="s">
        <v>15</v>
      </c>
      <c r="C14" s="121">
        <v>1100384796</v>
      </c>
      <c r="D14" s="121">
        <v>1448132696</v>
      </c>
      <c r="E14" s="121">
        <f>1644727200-81970+87435+64200</f>
        <v>1644796865</v>
      </c>
      <c r="F14" s="121">
        <f>1761493700-30938-48938+157800</f>
        <v>1761571624</v>
      </c>
      <c r="G14" s="121">
        <f>1872633300-50820-58693+275600</f>
        <v>1872799387</v>
      </c>
    </row>
    <row r="15" spans="1:7" ht="15" x14ac:dyDescent="0.25">
      <c r="A15" s="65" t="s">
        <v>9</v>
      </c>
      <c r="B15" s="9" t="s">
        <v>16</v>
      </c>
      <c r="C15" s="121">
        <v>55359419</v>
      </c>
      <c r="D15" s="121">
        <v>421900</v>
      </c>
      <c r="E15" s="121">
        <v>426800</v>
      </c>
      <c r="F15" s="121">
        <v>431000</v>
      </c>
      <c r="G15" s="121">
        <v>434300</v>
      </c>
    </row>
    <row r="16" spans="1:7" s="56" customFormat="1" ht="15.6" x14ac:dyDescent="0.3">
      <c r="A16" s="207">
        <v>1000</v>
      </c>
      <c r="B16" s="64" t="s">
        <v>26</v>
      </c>
      <c r="C16" s="119">
        <f>C17+C18</f>
        <v>7643573321</v>
      </c>
      <c r="D16" s="119">
        <f t="shared" ref="D16:G16" si="1">D17+D18</f>
        <v>8895543378</v>
      </c>
      <c r="E16" s="119">
        <f t="shared" si="1"/>
        <v>11096349310</v>
      </c>
      <c r="F16" s="119">
        <f t="shared" si="1"/>
        <v>11959072702</v>
      </c>
      <c r="G16" s="119">
        <f t="shared" si="1"/>
        <v>12862989019</v>
      </c>
    </row>
    <row r="17" spans="1:7" ht="15" x14ac:dyDescent="0.25">
      <c r="A17" s="58" t="s">
        <v>9</v>
      </c>
      <c r="B17" s="9" t="s">
        <v>15</v>
      </c>
      <c r="C17" s="121">
        <v>6950437246</v>
      </c>
      <c r="D17" s="121">
        <v>8427706400</v>
      </c>
      <c r="E17" s="121">
        <f>10813178160+623700+218000</f>
        <v>10814019860</v>
      </c>
      <c r="F17" s="121">
        <f>11605848750+693500+240200</f>
        <v>11606782450</v>
      </c>
      <c r="G17" s="121">
        <f>12394621990+755000+259200</f>
        <v>12395636190</v>
      </c>
    </row>
    <row r="18" spans="1:7" ht="15" x14ac:dyDescent="0.25">
      <c r="A18" s="65" t="s">
        <v>9</v>
      </c>
      <c r="B18" s="9" t="s">
        <v>16</v>
      </c>
      <c r="C18" s="121">
        <v>693136075</v>
      </c>
      <c r="D18" s="121">
        <v>467836978</v>
      </c>
      <c r="E18" s="121">
        <v>282329450</v>
      </c>
      <c r="F18" s="121">
        <v>352290252</v>
      </c>
      <c r="G18" s="121">
        <v>467352829</v>
      </c>
    </row>
    <row r="19" spans="1:7" s="56" customFormat="1" ht="15.6" x14ac:dyDescent="0.3">
      <c r="A19" s="207">
        <v>2000</v>
      </c>
      <c r="B19" s="64" t="s">
        <v>27</v>
      </c>
      <c r="C19" s="119">
        <f>C20+C21</f>
        <v>763288308</v>
      </c>
      <c r="D19" s="119">
        <f t="shared" ref="D19:G19" si="2">D20+D21</f>
        <v>815143513</v>
      </c>
      <c r="E19" s="119">
        <f t="shared" si="2"/>
        <v>766307980</v>
      </c>
      <c r="F19" s="119">
        <f t="shared" si="2"/>
        <v>800631800</v>
      </c>
      <c r="G19" s="119">
        <f t="shared" si="2"/>
        <v>905762800</v>
      </c>
    </row>
    <row r="20" spans="1:7" ht="15" x14ac:dyDescent="0.25">
      <c r="A20" s="58" t="s">
        <v>9</v>
      </c>
      <c r="B20" s="9" t="s">
        <v>15</v>
      </c>
      <c r="C20" s="121">
        <v>429855980</v>
      </c>
      <c r="D20" s="121">
        <v>547555600</v>
      </c>
      <c r="E20" s="121">
        <v>681453580</v>
      </c>
      <c r="F20" s="121">
        <v>650631800</v>
      </c>
      <c r="G20" s="121">
        <v>694068000</v>
      </c>
    </row>
    <row r="21" spans="1:7" ht="15" x14ac:dyDescent="0.25">
      <c r="A21" s="65" t="s">
        <v>9</v>
      </c>
      <c r="B21" s="9" t="s">
        <v>16</v>
      </c>
      <c r="C21" s="121">
        <v>333432328</v>
      </c>
      <c r="D21" s="121">
        <v>267587913</v>
      </c>
      <c r="E21" s="121">
        <v>84854400</v>
      </c>
      <c r="F21" s="121">
        <v>150000000</v>
      </c>
      <c r="G21" s="121">
        <v>211694800</v>
      </c>
    </row>
    <row r="22" spans="1:7" s="56" customFormat="1" ht="15.6" x14ac:dyDescent="0.3">
      <c r="A22" s="207">
        <v>3000</v>
      </c>
      <c r="B22" s="64" t="s">
        <v>28</v>
      </c>
      <c r="C22" s="119">
        <f>C23+C24</f>
        <v>1781564858</v>
      </c>
      <c r="D22" s="119">
        <f t="shared" ref="D22:G22" si="3">D23+D24</f>
        <v>2322949886</v>
      </c>
      <c r="E22" s="119">
        <f t="shared" si="3"/>
        <v>1952807600</v>
      </c>
      <c r="F22" s="119">
        <f t="shared" si="3"/>
        <v>2020938500</v>
      </c>
      <c r="G22" s="119">
        <f t="shared" si="3"/>
        <v>2148411600</v>
      </c>
    </row>
    <row r="23" spans="1:7" ht="15" x14ac:dyDescent="0.25">
      <c r="A23" s="58" t="s">
        <v>9</v>
      </c>
      <c r="B23" s="66" t="s">
        <v>15</v>
      </c>
      <c r="C23" s="121">
        <v>1483297265</v>
      </c>
      <c r="D23" s="121">
        <v>1881018184</v>
      </c>
      <c r="E23" s="121">
        <f>1866695200-109800</f>
        <v>1866585400</v>
      </c>
      <c r="F23" s="121">
        <f>2008062400-128100+4200</f>
        <v>2007938500</v>
      </c>
      <c r="G23" s="121">
        <f>2133547600-143600+7600</f>
        <v>2133411600</v>
      </c>
    </row>
    <row r="24" spans="1:7" ht="15" x14ac:dyDescent="0.25">
      <c r="A24" s="65" t="s">
        <v>9</v>
      </c>
      <c r="B24" s="66" t="s">
        <v>16</v>
      </c>
      <c r="C24" s="121">
        <v>298267593</v>
      </c>
      <c r="D24" s="121">
        <v>441931702</v>
      </c>
      <c r="E24" s="121">
        <v>86222200</v>
      </c>
      <c r="F24" s="121">
        <v>13000000</v>
      </c>
      <c r="G24" s="121">
        <v>15000000</v>
      </c>
    </row>
    <row r="25" spans="1:7" s="56" customFormat="1" ht="15.6" x14ac:dyDescent="0.3">
      <c r="A25" s="207">
        <v>4000</v>
      </c>
      <c r="B25" s="64" t="s">
        <v>29</v>
      </c>
      <c r="C25" s="119">
        <f>C26+C27</f>
        <v>409724468</v>
      </c>
      <c r="D25" s="119">
        <f t="shared" ref="D25:G25" si="4">D26+D27</f>
        <v>552290364</v>
      </c>
      <c r="E25" s="119">
        <f t="shared" si="4"/>
        <v>552525750</v>
      </c>
      <c r="F25" s="119">
        <f t="shared" si="4"/>
        <v>586122031</v>
      </c>
      <c r="G25" s="218">
        <f t="shared" si="4"/>
        <v>630148812</v>
      </c>
    </row>
    <row r="26" spans="1:7" ht="15.6" x14ac:dyDescent="0.25">
      <c r="A26" s="58" t="s">
        <v>9</v>
      </c>
      <c r="B26" s="9" t="s">
        <v>15</v>
      </c>
      <c r="C26" s="121">
        <v>356402481</v>
      </c>
      <c r="D26" s="121">
        <v>451216370</v>
      </c>
      <c r="E26" s="121">
        <f>501901700-545000-60700</f>
        <v>501296000</v>
      </c>
      <c r="F26" s="121">
        <f>542585600-575200-154300</f>
        <v>541856100</v>
      </c>
      <c r="G26" s="159">
        <f>580559700-628400-272100</f>
        <v>579659200</v>
      </c>
    </row>
    <row r="27" spans="1:7" ht="15" x14ac:dyDescent="0.25">
      <c r="A27" s="65" t="s">
        <v>9</v>
      </c>
      <c r="B27" s="9" t="s">
        <v>16</v>
      </c>
      <c r="C27" s="121">
        <v>53321987</v>
      </c>
      <c r="D27" s="121">
        <v>101073994</v>
      </c>
      <c r="E27" s="121">
        <v>51229750</v>
      </c>
      <c r="F27" s="121">
        <v>44265931</v>
      </c>
      <c r="G27" s="121">
        <v>50489612</v>
      </c>
    </row>
    <row r="28" spans="1:7" s="56" customFormat="1" ht="15.6" x14ac:dyDescent="0.3">
      <c r="A28" s="207">
        <v>5000</v>
      </c>
      <c r="B28" s="64" t="s">
        <v>30</v>
      </c>
      <c r="C28" s="119">
        <f>C29+C30</f>
        <v>243112605</v>
      </c>
      <c r="D28" s="119">
        <f t="shared" ref="D28:G28" si="5">D29+D30</f>
        <v>272660377</v>
      </c>
      <c r="E28" s="119">
        <f t="shared" si="5"/>
        <v>323698300</v>
      </c>
      <c r="F28" s="119">
        <f t="shared" si="5"/>
        <v>314319500</v>
      </c>
      <c r="G28" s="119">
        <f t="shared" si="5"/>
        <v>336049100</v>
      </c>
    </row>
    <row r="29" spans="1:7" ht="15" x14ac:dyDescent="0.25">
      <c r="A29" s="58" t="s">
        <v>9</v>
      </c>
      <c r="B29" s="9" t="s">
        <v>15</v>
      </c>
      <c r="C29" s="121">
        <v>220867947</v>
      </c>
      <c r="D29" s="121">
        <v>256795922</v>
      </c>
      <c r="E29" s="121">
        <v>303126400</v>
      </c>
      <c r="F29" s="121">
        <v>305701600</v>
      </c>
      <c r="G29" s="121">
        <v>325391500</v>
      </c>
    </row>
    <row r="30" spans="1:7" ht="15" x14ac:dyDescent="0.25">
      <c r="A30" s="65" t="s">
        <v>9</v>
      </c>
      <c r="B30" s="9" t="s">
        <v>16</v>
      </c>
      <c r="C30" s="121">
        <v>22244658</v>
      </c>
      <c r="D30" s="121">
        <v>15864455</v>
      </c>
      <c r="E30" s="121">
        <v>20571900</v>
      </c>
      <c r="F30" s="121">
        <v>8617900</v>
      </c>
      <c r="G30" s="121">
        <v>10657600</v>
      </c>
    </row>
    <row r="31" spans="1:7" s="56" customFormat="1" ht="15.6" x14ac:dyDescent="0.3">
      <c r="A31" s="207">
        <v>6000</v>
      </c>
      <c r="B31" s="64" t="s">
        <v>31</v>
      </c>
      <c r="C31" s="119">
        <f>C32+C33</f>
        <v>3671521661</v>
      </c>
      <c r="D31" s="119">
        <f t="shared" ref="D31:G31" si="6">D32+D33</f>
        <v>4551255940</v>
      </c>
      <c r="E31" s="119">
        <f t="shared" si="6"/>
        <v>3716329900</v>
      </c>
      <c r="F31" s="119">
        <f t="shared" si="6"/>
        <v>3057028900</v>
      </c>
      <c r="G31" s="119">
        <f t="shared" si="6"/>
        <v>3998091500</v>
      </c>
    </row>
    <row r="32" spans="1:7" ht="15" x14ac:dyDescent="0.25">
      <c r="A32" s="58" t="s">
        <v>9</v>
      </c>
      <c r="B32" s="9" t="s">
        <v>15</v>
      </c>
      <c r="C32" s="121">
        <v>3285091685</v>
      </c>
      <c r="D32" s="121">
        <v>3390610095</v>
      </c>
      <c r="E32" s="121">
        <f>2694596700+807100</f>
        <v>2695403800</v>
      </c>
      <c r="F32" s="121">
        <f>2898496000+5343900</f>
        <v>2903839900</v>
      </c>
      <c r="G32" s="121">
        <f>3070829400+5662100</f>
        <v>3076491500</v>
      </c>
    </row>
    <row r="33" spans="1:7" ht="15" x14ac:dyDescent="0.25">
      <c r="A33" s="65" t="s">
        <v>9</v>
      </c>
      <c r="B33" s="9" t="s">
        <v>16</v>
      </c>
      <c r="C33" s="121">
        <v>386429976</v>
      </c>
      <c r="D33" s="121">
        <v>1160645845</v>
      </c>
      <c r="E33" s="121">
        <v>1020926100</v>
      </c>
      <c r="F33" s="121">
        <v>153189000</v>
      </c>
      <c r="G33" s="121">
        <v>921600000</v>
      </c>
    </row>
    <row r="34" spans="1:7" s="56" customFormat="1" ht="15.6" x14ac:dyDescent="0.3">
      <c r="A34" s="207">
        <v>7000</v>
      </c>
      <c r="B34" s="64" t="s">
        <v>32</v>
      </c>
      <c r="C34" s="119">
        <f>C35+C36</f>
        <v>3197093861</v>
      </c>
      <c r="D34" s="119">
        <f t="shared" ref="D34:G34" si="7">D35+D36</f>
        <v>3508106096</v>
      </c>
      <c r="E34" s="119">
        <f t="shared" si="7"/>
        <v>1842623652</v>
      </c>
      <c r="F34" s="119">
        <f t="shared" si="7"/>
        <v>1807420800</v>
      </c>
      <c r="G34" s="119">
        <f t="shared" si="7"/>
        <v>2129476500</v>
      </c>
    </row>
    <row r="35" spans="1:7" ht="15" x14ac:dyDescent="0.25">
      <c r="A35" s="58" t="s">
        <v>9</v>
      </c>
      <c r="B35" s="9" t="s">
        <v>15</v>
      </c>
      <c r="C35" s="121">
        <v>744641474</v>
      </c>
      <c r="D35" s="121">
        <v>916698567</v>
      </c>
      <c r="E35" s="121">
        <f>716404300-3500</f>
        <v>716400800</v>
      </c>
      <c r="F35" s="121">
        <f>760561300-3500</f>
        <v>760557800</v>
      </c>
      <c r="G35" s="121">
        <f>805080000-3500</f>
        <v>805076500</v>
      </c>
    </row>
    <row r="36" spans="1:7" ht="15" x14ac:dyDescent="0.25">
      <c r="A36" s="65" t="s">
        <v>9</v>
      </c>
      <c r="B36" s="9" t="s">
        <v>16</v>
      </c>
      <c r="C36" s="121">
        <v>2452452387</v>
      </c>
      <c r="D36" s="121">
        <v>2591407529</v>
      </c>
      <c r="E36" s="121">
        <v>1126222852</v>
      </c>
      <c r="F36" s="121">
        <v>1046863000</v>
      </c>
      <c r="G36" s="121">
        <v>1324400000</v>
      </c>
    </row>
    <row r="37" spans="1:7" s="56" customFormat="1" ht="18" x14ac:dyDescent="0.3">
      <c r="A37" s="219" t="s">
        <v>61</v>
      </c>
      <c r="B37" s="64" t="s">
        <v>46</v>
      </c>
      <c r="C37" s="119">
        <f>C38+C39</f>
        <v>432605212</v>
      </c>
      <c r="D37" s="119">
        <f t="shared" ref="D37:G37" si="8">D38+D39</f>
        <v>746389734</v>
      </c>
      <c r="E37" s="119">
        <f t="shared" si="8"/>
        <v>2309675100</v>
      </c>
      <c r="F37" s="119">
        <f t="shared" si="8"/>
        <v>2205860400</v>
      </c>
      <c r="G37" s="218">
        <f t="shared" si="8"/>
        <v>1956625400</v>
      </c>
    </row>
    <row r="38" spans="1:7" ht="15.6" x14ac:dyDescent="0.25">
      <c r="A38" s="58" t="s">
        <v>9</v>
      </c>
      <c r="B38" s="9" t="s">
        <v>15</v>
      </c>
      <c r="C38" s="121">
        <v>327684422</v>
      </c>
      <c r="D38" s="121">
        <f>720323186</f>
        <v>720323186</v>
      </c>
      <c r="E38" s="121">
        <f>2289669100-78700-108200-807100</f>
        <v>2288675100</v>
      </c>
      <c r="F38" s="121">
        <f>2193438900-118300-116300-5343900</f>
        <v>2187860400</v>
      </c>
      <c r="G38" s="159">
        <f>1941537300-126600-123200-5662100</f>
        <v>1935625400</v>
      </c>
    </row>
    <row r="39" spans="1:7" ht="15" x14ac:dyDescent="0.25">
      <c r="A39" s="65" t="s">
        <v>9</v>
      </c>
      <c r="B39" s="9" t="s">
        <v>16</v>
      </c>
      <c r="C39" s="121">
        <v>104920790</v>
      </c>
      <c r="D39" s="121">
        <f>26066548</f>
        <v>26066548</v>
      </c>
      <c r="E39" s="121">
        <v>21000000</v>
      </c>
      <c r="F39" s="121">
        <v>18000000</v>
      </c>
      <c r="G39" s="121">
        <v>21000000</v>
      </c>
    </row>
    <row r="40" spans="1:7" s="56" customFormat="1" ht="15.6" x14ac:dyDescent="0.3">
      <c r="A40" s="207">
        <v>9000</v>
      </c>
      <c r="B40" s="64" t="s">
        <v>33</v>
      </c>
      <c r="C40" s="119">
        <f>C41+C43</f>
        <v>2582760064</v>
      </c>
      <c r="D40" s="119">
        <f>D41</f>
        <v>2982208163</v>
      </c>
      <c r="E40" s="119">
        <f>E41+E43</f>
        <v>2706417200</v>
      </c>
      <c r="F40" s="119">
        <f>F41+F43</f>
        <v>3234930900</v>
      </c>
      <c r="G40" s="119">
        <f>G41+G43</f>
        <v>3731183700</v>
      </c>
    </row>
    <row r="41" spans="1:7" ht="15" x14ac:dyDescent="0.25">
      <c r="A41" s="58" t="s">
        <v>9</v>
      </c>
      <c r="B41" s="9" t="s">
        <v>47</v>
      </c>
      <c r="C41" s="121">
        <v>2163382344</v>
      </c>
      <c r="D41" s="121">
        <v>2982208163</v>
      </c>
      <c r="E41" s="121">
        <v>2706417200</v>
      </c>
      <c r="F41" s="121">
        <v>3234930900</v>
      </c>
      <c r="G41" s="121">
        <v>3731183700</v>
      </c>
    </row>
    <row r="42" spans="1:7" s="60" customFormat="1" ht="15.6" x14ac:dyDescent="0.3">
      <c r="A42" s="67">
        <v>9110</v>
      </c>
      <c r="B42" s="68" t="s">
        <v>34</v>
      </c>
      <c r="C42" s="218">
        <v>1899910300</v>
      </c>
      <c r="D42" s="218">
        <v>2350300800</v>
      </c>
      <c r="E42" s="218">
        <v>2687289700</v>
      </c>
      <c r="F42" s="218">
        <v>3215803400</v>
      </c>
      <c r="G42" s="218">
        <v>3712056200</v>
      </c>
    </row>
    <row r="43" spans="1:7" ht="15" x14ac:dyDescent="0.25">
      <c r="A43" s="65" t="s">
        <v>9</v>
      </c>
      <c r="B43" s="9" t="s">
        <v>16</v>
      </c>
      <c r="C43" s="121">
        <v>419377720</v>
      </c>
      <c r="D43" s="121">
        <v>0</v>
      </c>
      <c r="E43" s="121">
        <v>0</v>
      </c>
      <c r="F43" s="121">
        <v>0</v>
      </c>
      <c r="G43" s="121">
        <v>0</v>
      </c>
    </row>
    <row r="44" spans="1:7" s="56" customFormat="1" ht="20.25" customHeight="1" x14ac:dyDescent="0.3">
      <c r="A44" s="69" t="s">
        <v>9</v>
      </c>
      <c r="B44" s="64" t="s">
        <v>35</v>
      </c>
      <c r="C44" s="119">
        <f>C45+C46</f>
        <v>21880988579.279999</v>
      </c>
      <c r="D44" s="119">
        <f t="shared" ref="D44:G44" si="9">D45+D46</f>
        <v>26095102047</v>
      </c>
      <c r="E44" s="119">
        <f t="shared" si="9"/>
        <v>26911958457</v>
      </c>
      <c r="F44" s="119">
        <f t="shared" si="9"/>
        <v>27748328157</v>
      </c>
      <c r="G44" s="119">
        <f t="shared" si="9"/>
        <v>30571972118</v>
      </c>
    </row>
    <row r="45" spans="1:7" s="56" customFormat="1" ht="15.6" x14ac:dyDescent="0.3">
      <c r="A45" s="70" t="s">
        <v>9</v>
      </c>
      <c r="B45" s="64" t="s">
        <v>15</v>
      </c>
      <c r="C45" s="119">
        <f>C14+C17+C20+C23+C26+C29+C32+C35+C38+C41+1.1</f>
        <v>17062045641.1</v>
      </c>
      <c r="D45" s="119">
        <f>D14+D17+D20+D23+D26+D29+D32+D35+D38+D41</f>
        <v>21022265183</v>
      </c>
      <c r="E45" s="119">
        <f t="shared" ref="E45:F45" si="10">E14+E17+E20+E23+E26+E29+E32+E35+E38+E41</f>
        <v>24218175005</v>
      </c>
      <c r="F45" s="119">
        <f t="shared" si="10"/>
        <v>25961671074</v>
      </c>
      <c r="G45" s="119">
        <f>G14+G17+G20+G23+G26+G29+G32+G35+G38+G41</f>
        <v>27549342977</v>
      </c>
    </row>
    <row r="46" spans="1:7" s="56" customFormat="1" ht="15.6" x14ac:dyDescent="0.3">
      <c r="A46" s="69" t="s">
        <v>9</v>
      </c>
      <c r="B46" s="64" t="s">
        <v>16</v>
      </c>
      <c r="C46" s="119">
        <f>C15+C18+C21+C24+C27+C30+C33+C36+C39+C43+5.18</f>
        <v>4818942938.1800003</v>
      </c>
      <c r="D46" s="119">
        <f t="shared" ref="D46:G46" si="11">D15+D18+D21+D24+D27+D30+D33+D36+D39+D43</f>
        <v>5072836864</v>
      </c>
      <c r="E46" s="119">
        <f t="shared" si="11"/>
        <v>2693783452</v>
      </c>
      <c r="F46" s="119">
        <f t="shared" si="11"/>
        <v>1786657083</v>
      </c>
      <c r="G46" s="119">
        <f t="shared" si="11"/>
        <v>3022629141</v>
      </c>
    </row>
    <row r="47" spans="1:7" ht="11.4" customHeight="1" x14ac:dyDescent="0.3">
      <c r="A47" s="13"/>
    </row>
    <row r="48" spans="1:7" ht="37.5" customHeight="1" x14ac:dyDescent="0.25">
      <c r="A48" s="274" t="s">
        <v>190</v>
      </c>
      <c r="B48" s="274"/>
      <c r="C48" s="274"/>
      <c r="D48" s="274"/>
      <c r="E48" s="274"/>
      <c r="F48" s="274"/>
      <c r="G48" s="274"/>
    </row>
    <row r="50" spans="1:7" ht="68.400000000000006" customHeight="1" x14ac:dyDescent="0.25">
      <c r="D50" s="22"/>
    </row>
    <row r="51" spans="1:7" ht="17.399999999999999" x14ac:dyDescent="0.25">
      <c r="A51" s="33" t="s">
        <v>167</v>
      </c>
      <c r="B51" s="34"/>
      <c r="C51" s="35"/>
      <c r="D51" s="36"/>
      <c r="E51" s="36" t="s">
        <v>168</v>
      </c>
    </row>
    <row r="52" spans="1:7" ht="44.4" customHeight="1" x14ac:dyDescent="0.3">
      <c r="A52" s="36"/>
      <c r="B52" s="34"/>
      <c r="C52" s="34"/>
      <c r="D52" s="37"/>
      <c r="E52" s="37"/>
    </row>
    <row r="53" spans="1:7" ht="17.399999999999999" x14ac:dyDescent="0.3">
      <c r="A53" s="38" t="s">
        <v>169</v>
      </c>
      <c r="B53" s="38"/>
      <c r="C53" s="38"/>
      <c r="D53" s="39"/>
      <c r="E53" s="39"/>
    </row>
    <row r="54" spans="1:7" ht="17.399999999999999" x14ac:dyDescent="0.3">
      <c r="A54" s="38" t="s">
        <v>170</v>
      </c>
      <c r="B54" s="38"/>
      <c r="C54" s="38"/>
      <c r="D54" s="39"/>
      <c r="E54" s="39" t="s">
        <v>171</v>
      </c>
    </row>
    <row r="55" spans="1:7" ht="54.6" customHeight="1" x14ac:dyDescent="0.3">
      <c r="A55" s="38"/>
      <c r="B55" s="38"/>
      <c r="C55" s="38"/>
      <c r="D55" s="39"/>
      <c r="E55" s="39"/>
    </row>
    <row r="56" spans="1:7" ht="17.399999999999999" x14ac:dyDescent="0.3">
      <c r="A56" s="40" t="s">
        <v>172</v>
      </c>
      <c r="B56" s="40"/>
      <c r="C56" s="40"/>
      <c r="D56" s="38"/>
      <c r="E56" s="38"/>
    </row>
    <row r="57" spans="1:7" ht="17.399999999999999" x14ac:dyDescent="0.3">
      <c r="A57" s="36" t="s">
        <v>173</v>
      </c>
      <c r="B57" s="36"/>
      <c r="C57" s="36"/>
      <c r="D57" s="39"/>
      <c r="E57" s="39" t="s">
        <v>174</v>
      </c>
    </row>
    <row r="61" spans="1:7" x14ac:dyDescent="0.25">
      <c r="C61" s="22"/>
      <c r="D61" s="22"/>
      <c r="E61" s="22"/>
      <c r="F61" s="22"/>
      <c r="G61" s="22"/>
    </row>
    <row r="64" spans="1:7" x14ac:dyDescent="0.25">
      <c r="C64" s="55"/>
      <c r="D64" s="55"/>
      <c r="E64" s="55"/>
      <c r="F64" s="55"/>
      <c r="G64" s="55"/>
    </row>
    <row r="65" spans="3:7" x14ac:dyDescent="0.25">
      <c r="C65" s="55"/>
      <c r="D65" s="55"/>
      <c r="E65" s="55"/>
      <c r="F65" s="55"/>
      <c r="G65" s="55"/>
    </row>
    <row r="66" spans="3:7" x14ac:dyDescent="0.25">
      <c r="C66" s="55"/>
      <c r="D66" s="55"/>
      <c r="E66" s="55"/>
      <c r="F66" s="55"/>
      <c r="G66" s="55"/>
    </row>
    <row r="73" spans="3:7" x14ac:dyDescent="0.25">
      <c r="C73" s="55"/>
      <c r="D73" s="55"/>
      <c r="E73" s="55"/>
      <c r="F73" s="55"/>
      <c r="G73" s="55"/>
    </row>
    <row r="74" spans="3:7" x14ac:dyDescent="0.25">
      <c r="C74" s="55"/>
      <c r="D74" s="55"/>
      <c r="E74" s="55"/>
      <c r="F74" s="55"/>
      <c r="G74" s="55"/>
    </row>
    <row r="75" spans="3:7" x14ac:dyDescent="0.25">
      <c r="C75" s="55"/>
      <c r="D75" s="55"/>
      <c r="E75" s="55"/>
      <c r="F75" s="55"/>
      <c r="G75" s="55"/>
    </row>
  </sheetData>
  <mergeCells count="16">
    <mergeCell ref="A48:G48"/>
    <mergeCell ref="F1:G1"/>
    <mergeCell ref="F2:G2"/>
    <mergeCell ref="A10:A11"/>
    <mergeCell ref="B10:B11"/>
    <mergeCell ref="A4:G4"/>
    <mergeCell ref="A5:G5"/>
    <mergeCell ref="A9:G9"/>
    <mergeCell ref="A7:B7"/>
    <mergeCell ref="A8:B8"/>
    <mergeCell ref="C10:C11"/>
    <mergeCell ref="D10:D11"/>
    <mergeCell ref="E10:E11"/>
    <mergeCell ref="F10:F11"/>
    <mergeCell ref="G10:G11"/>
    <mergeCell ref="F3:G3"/>
  </mergeCells>
  <printOptions horizontalCentered="1"/>
  <pageMargins left="0.39370078740157483" right="0.39370078740157483" top="0.78740157480314965" bottom="0.47244094488188981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="87" zoomScaleNormal="87" workbookViewId="0"/>
  </sheetViews>
  <sheetFormatPr defaultColWidth="9.109375" defaultRowHeight="13.8" x14ac:dyDescent="0.25"/>
  <cols>
    <col min="1" max="1" width="10.44140625" style="10" customWidth="1"/>
    <col min="2" max="2" width="64.6640625" style="10" customWidth="1"/>
    <col min="3" max="3" width="19.6640625" style="10" customWidth="1"/>
    <col min="4" max="4" width="18.5546875" style="10" customWidth="1"/>
    <col min="5" max="5" width="18.44140625" style="10" customWidth="1"/>
    <col min="6" max="6" width="21.44140625" style="10" customWidth="1"/>
    <col min="7" max="7" width="19.44140625" style="10" customWidth="1"/>
    <col min="8" max="16384" width="9.109375" style="10"/>
  </cols>
  <sheetData>
    <row r="1" spans="1:7" s="46" customFormat="1" ht="18" customHeight="1" x14ac:dyDescent="0.3">
      <c r="A1" s="7"/>
      <c r="F1" s="236" t="s">
        <v>392</v>
      </c>
      <c r="G1" s="281"/>
    </row>
    <row r="2" spans="1:7" s="46" customFormat="1" ht="46.95" customHeight="1" x14ac:dyDescent="0.3">
      <c r="A2" s="7"/>
      <c r="F2" s="282" t="s">
        <v>253</v>
      </c>
      <c r="G2" s="283"/>
    </row>
    <row r="3" spans="1:7" s="46" customFormat="1" ht="13.2" customHeight="1" x14ac:dyDescent="0.25">
      <c r="A3" s="7"/>
      <c r="F3" s="17"/>
    </row>
    <row r="4" spans="1:7" s="46" customFormat="1" ht="39.6" customHeight="1" x14ac:dyDescent="0.25">
      <c r="A4" s="284" t="s">
        <v>182</v>
      </c>
      <c r="B4" s="284"/>
      <c r="C4" s="284"/>
      <c r="D4" s="284"/>
      <c r="E4" s="284"/>
      <c r="F4" s="284"/>
      <c r="G4" s="284"/>
    </row>
    <row r="5" spans="1:7" ht="5.4" customHeight="1" x14ac:dyDescent="0.25">
      <c r="A5" s="12"/>
      <c r="B5" s="12"/>
      <c r="C5" s="12"/>
      <c r="D5" s="12"/>
      <c r="E5" s="12"/>
      <c r="F5" s="12"/>
      <c r="G5" s="12"/>
    </row>
    <row r="6" spans="1:7" ht="15" x14ac:dyDescent="0.25">
      <c r="A6" s="235">
        <v>1356300000</v>
      </c>
      <c r="B6" s="235"/>
    </row>
    <row r="7" spans="1:7" ht="15" customHeight="1" x14ac:dyDescent="0.25">
      <c r="A7" s="236" t="s">
        <v>0</v>
      </c>
      <c r="B7" s="236"/>
    </row>
    <row r="8" spans="1:7" ht="15.6" x14ac:dyDescent="0.25">
      <c r="G8" s="31" t="s">
        <v>11</v>
      </c>
    </row>
    <row r="9" spans="1:7" x14ac:dyDescent="0.25">
      <c r="A9" s="248" t="s">
        <v>12</v>
      </c>
      <c r="B9" s="248" t="s">
        <v>3</v>
      </c>
      <c r="C9" s="247" t="s">
        <v>250</v>
      </c>
      <c r="D9" s="247" t="s">
        <v>251</v>
      </c>
      <c r="E9" s="247" t="s">
        <v>95</v>
      </c>
      <c r="F9" s="247" t="s">
        <v>96</v>
      </c>
      <c r="G9" s="247" t="s">
        <v>252</v>
      </c>
    </row>
    <row r="10" spans="1:7" ht="17.399999999999999" customHeight="1" x14ac:dyDescent="0.25">
      <c r="A10" s="248"/>
      <c r="B10" s="248"/>
      <c r="C10" s="247"/>
      <c r="D10" s="247"/>
      <c r="E10" s="247"/>
      <c r="F10" s="247"/>
      <c r="G10" s="247"/>
    </row>
    <row r="11" spans="1:7" ht="15" x14ac:dyDescent="0.25">
      <c r="A11" s="42">
        <v>1</v>
      </c>
      <c r="B11" s="21">
        <v>2</v>
      </c>
      <c r="C11" s="21">
        <v>3</v>
      </c>
      <c r="D11" s="21">
        <v>4</v>
      </c>
      <c r="E11" s="21">
        <v>5</v>
      </c>
      <c r="F11" s="21">
        <v>6</v>
      </c>
      <c r="G11" s="21">
        <v>7</v>
      </c>
    </row>
    <row r="12" spans="1:7" ht="15.6" x14ac:dyDescent="0.25">
      <c r="A12" s="43"/>
      <c r="B12" s="44" t="s">
        <v>39</v>
      </c>
      <c r="C12" s="29">
        <f>C13+C14</f>
        <v>-6182764</v>
      </c>
      <c r="D12" s="29">
        <f>D13+D14</f>
        <v>-6960190</v>
      </c>
      <c r="E12" s="29">
        <f>E13+E14</f>
        <v>-8924650</v>
      </c>
      <c r="F12" s="29">
        <f>F13+F14</f>
        <v>-11124030</v>
      </c>
      <c r="G12" s="29">
        <f>G13+G14</f>
        <v>-13315930</v>
      </c>
    </row>
    <row r="13" spans="1:7" ht="15" x14ac:dyDescent="0.25">
      <c r="A13" s="208" t="s">
        <v>9</v>
      </c>
      <c r="B13" s="30" t="s">
        <v>15</v>
      </c>
      <c r="C13" s="28"/>
      <c r="D13" s="28"/>
      <c r="E13" s="28"/>
      <c r="F13" s="28"/>
      <c r="G13" s="28"/>
    </row>
    <row r="14" spans="1:7" ht="15" x14ac:dyDescent="0.25">
      <c r="A14" s="208" t="s">
        <v>9</v>
      </c>
      <c r="B14" s="30" t="s">
        <v>16</v>
      </c>
      <c r="C14" s="28">
        <f>C15</f>
        <v>-6182764</v>
      </c>
      <c r="D14" s="28">
        <f t="shared" ref="D14:G14" si="0">D15</f>
        <v>-6960190</v>
      </c>
      <c r="E14" s="28">
        <f t="shared" si="0"/>
        <v>-8924650</v>
      </c>
      <c r="F14" s="28">
        <f t="shared" si="0"/>
        <v>-11124030</v>
      </c>
      <c r="G14" s="28">
        <f t="shared" si="0"/>
        <v>-13315930</v>
      </c>
    </row>
    <row r="15" spans="1:7" ht="46.5" customHeight="1" x14ac:dyDescent="0.25">
      <c r="A15" s="208">
        <v>8822</v>
      </c>
      <c r="B15" s="30" t="s">
        <v>176</v>
      </c>
      <c r="C15" s="28">
        <v>-6182764</v>
      </c>
      <c r="D15" s="28">
        <v>-6960190</v>
      </c>
      <c r="E15" s="28">
        <v>-8924650</v>
      </c>
      <c r="F15" s="28">
        <v>-11124030</v>
      </c>
      <c r="G15" s="28">
        <v>-13315930</v>
      </c>
    </row>
    <row r="16" spans="1:7" ht="15.6" x14ac:dyDescent="0.25">
      <c r="A16" s="43"/>
      <c r="B16" s="44" t="s">
        <v>49</v>
      </c>
      <c r="C16" s="29">
        <f>C17+C19</f>
        <v>34975788</v>
      </c>
      <c r="D16" s="29">
        <f>D17+D19</f>
        <v>399222890</v>
      </c>
      <c r="E16" s="29">
        <f>E17+E19</f>
        <v>409489668</v>
      </c>
      <c r="F16" s="29">
        <f>F17+F19</f>
        <v>536375983</v>
      </c>
      <c r="G16" s="29">
        <f>G17+G19</f>
        <v>518957989</v>
      </c>
    </row>
    <row r="17" spans="1:7" ht="15" x14ac:dyDescent="0.25">
      <c r="A17" s="208" t="s">
        <v>9</v>
      </c>
      <c r="B17" s="30" t="s">
        <v>15</v>
      </c>
      <c r="C17" s="28">
        <f>C18</f>
        <v>27601700</v>
      </c>
      <c r="D17" s="28">
        <f t="shared" ref="D17:G17" si="1">D18</f>
        <v>30472300</v>
      </c>
      <c r="E17" s="28">
        <f t="shared" si="1"/>
        <v>33306200</v>
      </c>
      <c r="F17" s="28">
        <f t="shared" si="1"/>
        <v>35804200</v>
      </c>
      <c r="G17" s="28">
        <f t="shared" si="1"/>
        <v>37916600</v>
      </c>
    </row>
    <row r="18" spans="1:7" ht="46.5" customHeight="1" x14ac:dyDescent="0.25">
      <c r="A18" s="208">
        <v>8821</v>
      </c>
      <c r="B18" s="30" t="s">
        <v>177</v>
      </c>
      <c r="C18" s="28">
        <v>27601700</v>
      </c>
      <c r="D18" s="28">
        <v>30472300</v>
      </c>
      <c r="E18" s="28">
        <v>33306200</v>
      </c>
      <c r="F18" s="28">
        <v>35804200</v>
      </c>
      <c r="G18" s="28">
        <v>37916600</v>
      </c>
    </row>
    <row r="19" spans="1:7" ht="15" x14ac:dyDescent="0.25">
      <c r="A19" s="208" t="s">
        <v>9</v>
      </c>
      <c r="B19" s="30" t="s">
        <v>16</v>
      </c>
      <c r="C19" s="28">
        <f>C20+C21</f>
        <v>7374088</v>
      </c>
      <c r="D19" s="28">
        <f>D20+D21</f>
        <v>368750590</v>
      </c>
      <c r="E19" s="28">
        <f t="shared" ref="E19:G19" si="2">E20+E21</f>
        <v>376183468</v>
      </c>
      <c r="F19" s="28">
        <f t="shared" si="2"/>
        <v>500571783</v>
      </c>
      <c r="G19" s="28">
        <f t="shared" si="2"/>
        <v>481041389</v>
      </c>
    </row>
    <row r="20" spans="1:7" ht="44.25" customHeight="1" x14ac:dyDescent="0.25">
      <c r="A20" s="208">
        <v>8821</v>
      </c>
      <c r="B20" s="30" t="s">
        <v>177</v>
      </c>
      <c r="C20" s="28">
        <v>7374088</v>
      </c>
      <c r="D20" s="28">
        <v>9750590</v>
      </c>
      <c r="E20" s="28">
        <v>9924650</v>
      </c>
      <c r="F20" s="28">
        <v>12124030</v>
      </c>
      <c r="G20" s="28">
        <v>14315930</v>
      </c>
    </row>
    <row r="21" spans="1:7" ht="29.4" customHeight="1" x14ac:dyDescent="0.25">
      <c r="A21" s="208">
        <v>8881</v>
      </c>
      <c r="B21" s="30" t="s">
        <v>399</v>
      </c>
      <c r="C21" s="28">
        <v>0</v>
      </c>
      <c r="D21" s="28">
        <v>359000000</v>
      </c>
      <c r="E21" s="28">
        <v>366258818</v>
      </c>
      <c r="F21" s="28">
        <v>488447753</v>
      </c>
      <c r="G21" s="28">
        <v>466725459</v>
      </c>
    </row>
    <row r="22" spans="1:7" ht="15.6" x14ac:dyDescent="0.25">
      <c r="A22" s="43"/>
      <c r="B22" s="45" t="s">
        <v>50</v>
      </c>
      <c r="C22" s="29">
        <f>C23+C24</f>
        <v>28793024</v>
      </c>
      <c r="D22" s="29">
        <f>D23+D24</f>
        <v>392262700</v>
      </c>
      <c r="E22" s="29">
        <f t="shared" ref="E22:G22" si="3">E23+E24</f>
        <v>400565018</v>
      </c>
      <c r="F22" s="29">
        <f t="shared" si="3"/>
        <v>525251953</v>
      </c>
      <c r="G22" s="29">
        <f t="shared" si="3"/>
        <v>505642059</v>
      </c>
    </row>
    <row r="23" spans="1:7" ht="15" x14ac:dyDescent="0.25">
      <c r="A23" s="208" t="s">
        <v>9</v>
      </c>
      <c r="B23" s="30" t="s">
        <v>15</v>
      </c>
      <c r="C23" s="28">
        <f>C13+C17</f>
        <v>27601700</v>
      </c>
      <c r="D23" s="28">
        <f>D13+D17</f>
        <v>30472300</v>
      </c>
      <c r="E23" s="28">
        <f>E13+E17</f>
        <v>33306200</v>
      </c>
      <c r="F23" s="28">
        <f>F13+F17</f>
        <v>35804200</v>
      </c>
      <c r="G23" s="28">
        <f>G13+G17</f>
        <v>37916600</v>
      </c>
    </row>
    <row r="24" spans="1:7" ht="15" x14ac:dyDescent="0.25">
      <c r="A24" s="208" t="s">
        <v>9</v>
      </c>
      <c r="B24" s="30" t="s">
        <v>16</v>
      </c>
      <c r="C24" s="28">
        <f>C19+C14</f>
        <v>1191324</v>
      </c>
      <c r="D24" s="28">
        <f>D19+D14</f>
        <v>361790400</v>
      </c>
      <c r="E24" s="28">
        <f>E19+E14</f>
        <v>367258818</v>
      </c>
      <c r="F24" s="28">
        <f>F19+F14</f>
        <v>489447753</v>
      </c>
      <c r="G24" s="28">
        <f>G19+G14</f>
        <v>467725459</v>
      </c>
    </row>
    <row r="25" spans="1:7" ht="15" x14ac:dyDescent="0.25">
      <c r="A25" s="7"/>
    </row>
    <row r="26" spans="1:7" ht="45.6" customHeight="1" x14ac:dyDescent="0.25">
      <c r="F26" s="22"/>
    </row>
    <row r="27" spans="1:7" s="46" customFormat="1" ht="15" x14ac:dyDescent="0.25">
      <c r="A27" s="47" t="s">
        <v>167</v>
      </c>
      <c r="B27" s="48"/>
      <c r="C27" s="49"/>
      <c r="D27" s="50"/>
      <c r="E27" s="50"/>
      <c r="F27" s="50" t="s">
        <v>168</v>
      </c>
    </row>
    <row r="28" spans="1:7" s="46" customFormat="1" ht="21" customHeight="1" x14ac:dyDescent="0.25">
      <c r="A28" s="50"/>
      <c r="B28" s="48"/>
      <c r="C28" s="48"/>
      <c r="D28" s="51"/>
      <c r="E28" s="51"/>
      <c r="F28" s="51"/>
    </row>
    <row r="29" spans="1:7" s="46" customFormat="1" ht="15" x14ac:dyDescent="0.25">
      <c r="A29" s="52" t="s">
        <v>169</v>
      </c>
      <c r="B29" s="52"/>
      <c r="C29" s="52"/>
      <c r="D29" s="53"/>
      <c r="E29" s="53"/>
      <c r="F29" s="53"/>
    </row>
    <row r="30" spans="1:7" s="46" customFormat="1" ht="15" x14ac:dyDescent="0.25">
      <c r="A30" s="52" t="s">
        <v>170</v>
      </c>
      <c r="B30" s="52"/>
      <c r="C30" s="52"/>
      <c r="D30" s="53"/>
      <c r="E30" s="53"/>
      <c r="F30" s="53" t="s">
        <v>171</v>
      </c>
    </row>
    <row r="31" spans="1:7" s="46" customFormat="1" ht="23.4" customHeight="1" x14ac:dyDescent="0.25">
      <c r="A31" s="52"/>
      <c r="B31" s="52"/>
      <c r="C31" s="52"/>
      <c r="D31" s="53"/>
      <c r="E31" s="53"/>
      <c r="F31" s="53"/>
    </row>
    <row r="32" spans="1:7" s="46" customFormat="1" ht="15" x14ac:dyDescent="0.25">
      <c r="A32" s="54" t="s">
        <v>172</v>
      </c>
      <c r="B32" s="54"/>
      <c r="C32" s="54"/>
      <c r="D32" s="52"/>
      <c r="E32" s="52"/>
      <c r="F32" s="52"/>
    </row>
    <row r="33" spans="1:6" s="46" customFormat="1" ht="15" x14ac:dyDescent="0.25">
      <c r="A33" s="50" t="s">
        <v>173</v>
      </c>
      <c r="B33" s="50"/>
      <c r="C33" s="50"/>
      <c r="D33" s="53"/>
      <c r="E33" s="53"/>
      <c r="F33" s="53" t="s">
        <v>174</v>
      </c>
    </row>
  </sheetData>
  <mergeCells count="12">
    <mergeCell ref="F1:G1"/>
    <mergeCell ref="F2:G2"/>
    <mergeCell ref="A9:A10"/>
    <mergeCell ref="B9:B10"/>
    <mergeCell ref="A4:G4"/>
    <mergeCell ref="A6:B6"/>
    <mergeCell ref="A7:B7"/>
    <mergeCell ref="C9:C10"/>
    <mergeCell ref="D9:D10"/>
    <mergeCell ref="E9:E10"/>
    <mergeCell ref="F9:F10"/>
    <mergeCell ref="G9:G10"/>
  </mergeCells>
  <printOptions horizontalCentered="1"/>
  <pageMargins left="0.39370078740157483" right="0.39370078740157483" top="0.98425196850393704" bottom="0.19685039370078741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2"/>
  <sheetViews>
    <sheetView zoomScale="80" zoomScaleNormal="80" zoomScaleSheetLayoutView="96" workbookViewId="0"/>
  </sheetViews>
  <sheetFormatPr defaultColWidth="9.109375" defaultRowHeight="13.8" x14ac:dyDescent="0.25"/>
  <cols>
    <col min="1" max="1" width="9.6640625" style="92" customWidth="1"/>
    <col min="2" max="2" width="20.109375" style="92" customWidth="1"/>
    <col min="3" max="3" width="32.5546875" style="92" customWidth="1"/>
    <col min="4" max="4" width="26.33203125" style="92" customWidth="1"/>
    <col min="5" max="5" width="26.5546875" style="92" customWidth="1"/>
    <col min="6" max="6" width="24" style="92" customWidth="1"/>
    <col min="7" max="7" width="24.44140625" style="92" customWidth="1"/>
    <col min="8" max="8" width="19.109375" style="92" customWidth="1"/>
    <col min="9" max="9" width="20.44140625" style="92" customWidth="1"/>
    <col min="10" max="10" width="20.109375" style="92" customWidth="1"/>
    <col min="11" max="12" width="9.109375" style="92"/>
    <col min="13" max="13" width="10.33203125" style="92" customWidth="1"/>
    <col min="14" max="15" width="9.109375" style="92"/>
    <col min="16" max="16" width="9.6640625" style="92" customWidth="1"/>
    <col min="17" max="18" width="10.109375" style="92" customWidth="1"/>
    <col min="19" max="16384" width="9.109375" style="92"/>
  </cols>
  <sheetData>
    <row r="1" spans="1:14" s="10" customFormat="1" ht="23.4" customHeight="1" x14ac:dyDescent="0.35">
      <c r="I1" s="275" t="s">
        <v>192</v>
      </c>
      <c r="J1" s="276"/>
    </row>
    <row r="2" spans="1:14" s="10" customFormat="1" ht="55.8" customHeight="1" x14ac:dyDescent="0.35">
      <c r="H2" s="6"/>
      <c r="I2" s="230" t="s">
        <v>254</v>
      </c>
      <c r="J2" s="285"/>
      <c r="N2" s="203"/>
    </row>
    <row r="3" spans="1:14" s="10" customFormat="1" ht="19.8" customHeight="1" x14ac:dyDescent="0.3">
      <c r="H3" s="6"/>
    </row>
    <row r="4" spans="1:14" s="10" customFormat="1" ht="17.399999999999999" x14ac:dyDescent="0.3">
      <c r="H4" s="6"/>
    </row>
    <row r="5" spans="1:14" s="10" customFormat="1" ht="40.5" customHeight="1" x14ac:dyDescent="0.25">
      <c r="A5" s="286" t="s">
        <v>403</v>
      </c>
      <c r="B5" s="287"/>
      <c r="C5" s="287"/>
      <c r="D5" s="287"/>
      <c r="E5" s="287"/>
      <c r="F5" s="287"/>
      <c r="G5" s="287"/>
      <c r="H5" s="287"/>
      <c r="I5" s="287"/>
      <c r="J5" s="287"/>
    </row>
    <row r="6" spans="1:14" s="10" customFormat="1" ht="12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</row>
    <row r="7" spans="1:14" s="10" customFormat="1" ht="15" x14ac:dyDescent="0.25">
      <c r="A7" s="235">
        <v>1356300000</v>
      </c>
      <c r="B7" s="235"/>
      <c r="C7" s="61"/>
      <c r="D7" s="61"/>
      <c r="E7" s="61"/>
    </row>
    <row r="8" spans="1:14" s="10" customFormat="1" ht="15" customHeight="1" x14ac:dyDescent="0.25">
      <c r="A8" s="236" t="s">
        <v>0</v>
      </c>
      <c r="B8" s="236"/>
      <c r="C8" s="62"/>
      <c r="D8" s="62"/>
      <c r="E8" s="62"/>
    </row>
    <row r="9" spans="1:14" s="10" customFormat="1" ht="15.75" customHeight="1" x14ac:dyDescent="0.3">
      <c r="A9" s="254" t="s">
        <v>1</v>
      </c>
      <c r="B9" s="254"/>
      <c r="C9" s="254"/>
      <c r="D9" s="254"/>
      <c r="E9" s="254"/>
      <c r="F9" s="254"/>
      <c r="G9" s="254"/>
      <c r="H9" s="254"/>
      <c r="I9" s="254"/>
      <c r="J9" s="254"/>
    </row>
    <row r="10" spans="1:14" s="10" customFormat="1" ht="15" x14ac:dyDescent="0.25">
      <c r="A10" s="248" t="s">
        <v>191</v>
      </c>
      <c r="B10" s="248" t="s">
        <v>137</v>
      </c>
      <c r="C10" s="248" t="s">
        <v>138</v>
      </c>
      <c r="D10" s="248" t="s">
        <v>136</v>
      </c>
      <c r="E10" s="248" t="s">
        <v>139</v>
      </c>
      <c r="F10" s="248" t="s">
        <v>140</v>
      </c>
      <c r="G10" s="248"/>
      <c r="H10" s="248"/>
      <c r="I10" s="248"/>
      <c r="J10" s="248"/>
    </row>
    <row r="11" spans="1:14" s="10" customFormat="1" ht="54" customHeight="1" x14ac:dyDescent="0.25">
      <c r="A11" s="248"/>
      <c r="B11" s="248"/>
      <c r="C11" s="248"/>
      <c r="D11" s="248"/>
      <c r="E11" s="248"/>
      <c r="F11" s="195" t="s">
        <v>250</v>
      </c>
      <c r="G11" s="195" t="s">
        <v>251</v>
      </c>
      <c r="H11" s="195" t="s">
        <v>95</v>
      </c>
      <c r="I11" s="195" t="s">
        <v>96</v>
      </c>
      <c r="J11" s="195" t="s">
        <v>252</v>
      </c>
    </row>
    <row r="12" spans="1:14" s="10" customFormat="1" ht="15" x14ac:dyDescent="0.25">
      <c r="A12" s="155">
        <v>1</v>
      </c>
      <c r="B12" s="155">
        <v>2</v>
      </c>
      <c r="C12" s="155">
        <v>3</v>
      </c>
      <c r="D12" s="155">
        <v>4</v>
      </c>
      <c r="E12" s="155">
        <v>5</v>
      </c>
      <c r="F12" s="155">
        <v>6</v>
      </c>
      <c r="G12" s="155">
        <v>7</v>
      </c>
      <c r="H12" s="155">
        <v>8</v>
      </c>
      <c r="I12" s="155">
        <v>9</v>
      </c>
      <c r="J12" s="155">
        <v>10</v>
      </c>
    </row>
    <row r="13" spans="1:14" ht="30" x14ac:dyDescent="0.25">
      <c r="A13" s="155">
        <v>1</v>
      </c>
      <c r="B13" s="201">
        <v>14</v>
      </c>
      <c r="C13" s="196" t="s">
        <v>194</v>
      </c>
      <c r="D13" s="196" t="s">
        <v>195</v>
      </c>
      <c r="E13" s="28">
        <v>13200000</v>
      </c>
      <c r="F13" s="153"/>
      <c r="G13" s="153">
        <v>5000000</v>
      </c>
      <c r="H13" s="153">
        <v>2000000</v>
      </c>
      <c r="I13" s="153">
        <v>200000</v>
      </c>
      <c r="J13" s="153">
        <v>6000000</v>
      </c>
    </row>
    <row r="14" spans="1:14" ht="60" x14ac:dyDescent="0.25">
      <c r="A14" s="154" t="s">
        <v>7</v>
      </c>
      <c r="B14" s="201">
        <v>14</v>
      </c>
      <c r="C14" s="196" t="s">
        <v>196</v>
      </c>
      <c r="D14" s="196" t="s">
        <v>197</v>
      </c>
      <c r="E14" s="28">
        <v>13200000</v>
      </c>
      <c r="F14" s="153"/>
      <c r="G14" s="153">
        <v>5000000</v>
      </c>
      <c r="H14" s="153">
        <v>2000000</v>
      </c>
      <c r="I14" s="153">
        <v>200000</v>
      </c>
      <c r="J14" s="153">
        <v>6000000</v>
      </c>
    </row>
    <row r="15" spans="1:14" ht="30" x14ac:dyDescent="0.25">
      <c r="A15" s="155">
        <v>1</v>
      </c>
      <c r="B15" s="201">
        <v>12</v>
      </c>
      <c r="C15" s="196" t="s">
        <v>194</v>
      </c>
      <c r="D15" s="196" t="s">
        <v>195</v>
      </c>
      <c r="E15" s="28">
        <v>1675164691.0899999</v>
      </c>
      <c r="F15" s="153"/>
      <c r="G15" s="153">
        <v>388093541.08999997</v>
      </c>
      <c r="H15" s="153">
        <v>443971150</v>
      </c>
      <c r="I15" s="153">
        <v>70100000</v>
      </c>
      <c r="J15" s="153">
        <v>773000000</v>
      </c>
    </row>
    <row r="16" spans="1:14" ht="105" x14ac:dyDescent="0.25">
      <c r="A16" s="154" t="s">
        <v>7</v>
      </c>
      <c r="B16" s="201">
        <v>12</v>
      </c>
      <c r="C16" s="196" t="s">
        <v>211</v>
      </c>
      <c r="D16" s="196" t="s">
        <v>197</v>
      </c>
      <c r="E16" s="28">
        <v>42171150</v>
      </c>
      <c r="F16" s="153"/>
      <c r="G16" s="153"/>
      <c r="H16" s="153">
        <v>1971150</v>
      </c>
      <c r="I16" s="153">
        <v>200000</v>
      </c>
      <c r="J16" s="153">
        <v>40000000</v>
      </c>
    </row>
    <row r="17" spans="1:10" ht="82.2" customHeight="1" x14ac:dyDescent="0.25">
      <c r="A17" s="154" t="s">
        <v>8</v>
      </c>
      <c r="B17" s="201">
        <v>12</v>
      </c>
      <c r="C17" s="196" t="s">
        <v>199</v>
      </c>
      <c r="D17" s="196" t="s">
        <v>197</v>
      </c>
      <c r="E17" s="28">
        <v>977143830</v>
      </c>
      <c r="F17" s="153"/>
      <c r="G17" s="153">
        <v>156743830</v>
      </c>
      <c r="H17" s="153">
        <v>427000000</v>
      </c>
      <c r="I17" s="153">
        <v>43400000</v>
      </c>
      <c r="J17" s="153">
        <v>350000000</v>
      </c>
    </row>
    <row r="18" spans="1:10" ht="114.6" customHeight="1" x14ac:dyDescent="0.25">
      <c r="A18" s="154" t="s">
        <v>198</v>
      </c>
      <c r="B18" s="201">
        <v>12</v>
      </c>
      <c r="C18" s="196" t="s">
        <v>201</v>
      </c>
      <c r="D18" s="196" t="s">
        <v>197</v>
      </c>
      <c r="E18" s="28">
        <v>539346963.49000001</v>
      </c>
      <c r="F18" s="153"/>
      <c r="G18" s="153">
        <v>142346963.49000001</v>
      </c>
      <c r="H18" s="153">
        <v>10000000</v>
      </c>
      <c r="I18" s="153">
        <v>24000000</v>
      </c>
      <c r="J18" s="153">
        <v>363000000</v>
      </c>
    </row>
    <row r="19" spans="1:10" ht="60" x14ac:dyDescent="0.25">
      <c r="A19" s="154" t="s">
        <v>200</v>
      </c>
      <c r="B19" s="201">
        <v>12</v>
      </c>
      <c r="C19" s="196" t="s">
        <v>261</v>
      </c>
      <c r="D19" s="196" t="s">
        <v>197</v>
      </c>
      <c r="E19" s="28">
        <v>79460209.599999994</v>
      </c>
      <c r="F19" s="153"/>
      <c r="G19" s="153">
        <v>65160209.600000001</v>
      </c>
      <c r="H19" s="153">
        <v>3000000</v>
      </c>
      <c r="I19" s="153">
        <v>1300000</v>
      </c>
      <c r="J19" s="153">
        <v>10000000</v>
      </c>
    </row>
    <row r="20" spans="1:10" ht="67.2" customHeight="1" x14ac:dyDescent="0.25">
      <c r="A20" s="154" t="s">
        <v>202</v>
      </c>
      <c r="B20" s="201">
        <v>12</v>
      </c>
      <c r="C20" s="196" t="s">
        <v>204</v>
      </c>
      <c r="D20" s="196" t="s">
        <v>197</v>
      </c>
      <c r="E20" s="28">
        <v>37042538</v>
      </c>
      <c r="F20" s="153"/>
      <c r="G20" s="153">
        <v>23842538</v>
      </c>
      <c r="H20" s="153">
        <v>2000000</v>
      </c>
      <c r="I20" s="153">
        <v>1200000</v>
      </c>
      <c r="J20" s="153">
        <v>10000000</v>
      </c>
    </row>
    <row r="21" spans="1:10" ht="25.8" customHeight="1" x14ac:dyDescent="0.25">
      <c r="A21" s="155">
        <v>2</v>
      </c>
      <c r="B21" s="201">
        <v>12</v>
      </c>
      <c r="C21" s="196" t="s">
        <v>205</v>
      </c>
      <c r="D21" s="196" t="s">
        <v>195</v>
      </c>
      <c r="E21" s="28">
        <v>282454950</v>
      </c>
      <c r="F21" s="153"/>
      <c r="G21" s="153">
        <v>22000000</v>
      </c>
      <c r="H21" s="153">
        <v>110454950</v>
      </c>
      <c r="I21" s="153">
        <v>50000000</v>
      </c>
      <c r="J21" s="153">
        <v>100000000</v>
      </c>
    </row>
    <row r="22" spans="1:10" ht="60" x14ac:dyDescent="0.25">
      <c r="A22" s="154" t="s">
        <v>206</v>
      </c>
      <c r="B22" s="201">
        <v>12</v>
      </c>
      <c r="C22" s="196" t="s">
        <v>262</v>
      </c>
      <c r="D22" s="196" t="s">
        <v>197</v>
      </c>
      <c r="E22" s="28">
        <v>18155000</v>
      </c>
      <c r="F22" s="153"/>
      <c r="G22" s="153"/>
      <c r="H22" s="153">
        <v>7700000</v>
      </c>
      <c r="I22" s="153">
        <v>3485000</v>
      </c>
      <c r="J22" s="153">
        <v>6970000</v>
      </c>
    </row>
    <row r="23" spans="1:10" ht="60" x14ac:dyDescent="0.25">
      <c r="A23" s="154" t="s">
        <v>224</v>
      </c>
      <c r="B23" s="201">
        <v>12</v>
      </c>
      <c r="C23" s="196" t="s">
        <v>263</v>
      </c>
      <c r="D23" s="196" t="s">
        <v>197</v>
      </c>
      <c r="E23" s="28">
        <v>19550000</v>
      </c>
      <c r="F23" s="153"/>
      <c r="G23" s="153"/>
      <c r="H23" s="153">
        <v>8300000</v>
      </c>
      <c r="I23" s="153">
        <v>3750000</v>
      </c>
      <c r="J23" s="153">
        <v>7500000</v>
      </c>
    </row>
    <row r="24" spans="1:10" ht="60" x14ac:dyDescent="0.25">
      <c r="A24" s="154" t="s">
        <v>264</v>
      </c>
      <c r="B24" s="201">
        <v>12</v>
      </c>
      <c r="C24" s="196" t="s">
        <v>265</v>
      </c>
      <c r="D24" s="196" t="s">
        <v>197</v>
      </c>
      <c r="E24" s="28">
        <v>18860000</v>
      </c>
      <c r="F24" s="153"/>
      <c r="G24" s="153"/>
      <c r="H24" s="153">
        <v>8000000</v>
      </c>
      <c r="I24" s="153">
        <v>3620000</v>
      </c>
      <c r="J24" s="153">
        <v>7240000</v>
      </c>
    </row>
    <row r="25" spans="1:10" ht="126" customHeight="1" x14ac:dyDescent="0.25">
      <c r="A25" s="154" t="s">
        <v>266</v>
      </c>
      <c r="B25" s="201">
        <v>12</v>
      </c>
      <c r="C25" s="196" t="s">
        <v>207</v>
      </c>
      <c r="D25" s="196" t="s">
        <v>197</v>
      </c>
      <c r="E25" s="28">
        <v>225889950</v>
      </c>
      <c r="F25" s="153"/>
      <c r="G25" s="153">
        <v>22000000</v>
      </c>
      <c r="H25" s="153">
        <v>86454950</v>
      </c>
      <c r="I25" s="153">
        <v>39145000</v>
      </c>
      <c r="J25" s="153">
        <v>78290000</v>
      </c>
    </row>
    <row r="26" spans="1:10" ht="15" x14ac:dyDescent="0.25">
      <c r="A26" s="155">
        <v>3</v>
      </c>
      <c r="B26" s="201">
        <v>12</v>
      </c>
      <c r="C26" s="196" t="s">
        <v>208</v>
      </c>
      <c r="D26" s="196" t="s">
        <v>195</v>
      </c>
      <c r="E26" s="28">
        <v>54323200</v>
      </c>
      <c r="F26" s="153"/>
      <c r="G26" s="153">
        <v>9997200</v>
      </c>
      <c r="H26" s="153">
        <v>20000000</v>
      </c>
      <c r="I26" s="153">
        <v>4326000</v>
      </c>
      <c r="J26" s="153">
        <v>20000000</v>
      </c>
    </row>
    <row r="27" spans="1:10" ht="60" x14ac:dyDescent="0.25">
      <c r="A27" s="154" t="s">
        <v>209</v>
      </c>
      <c r="B27" s="201">
        <v>12</v>
      </c>
      <c r="C27" s="196" t="s">
        <v>267</v>
      </c>
      <c r="D27" s="196" t="s">
        <v>197</v>
      </c>
      <c r="E27" s="28">
        <v>4432600</v>
      </c>
      <c r="F27" s="153"/>
      <c r="G27" s="153"/>
      <c r="H27" s="153">
        <v>2000000</v>
      </c>
      <c r="I27" s="153">
        <v>432600</v>
      </c>
      <c r="J27" s="153">
        <v>2000000</v>
      </c>
    </row>
    <row r="28" spans="1:10" ht="93" customHeight="1" x14ac:dyDescent="0.25">
      <c r="A28" s="154" t="s">
        <v>210</v>
      </c>
      <c r="B28" s="201">
        <v>12</v>
      </c>
      <c r="C28" s="196" t="s">
        <v>235</v>
      </c>
      <c r="D28" s="196" t="s">
        <v>197</v>
      </c>
      <c r="E28" s="28">
        <v>8965200</v>
      </c>
      <c r="F28" s="153"/>
      <c r="G28" s="153">
        <v>100000</v>
      </c>
      <c r="H28" s="153">
        <v>4000000</v>
      </c>
      <c r="I28" s="153">
        <v>865200</v>
      </c>
      <c r="J28" s="153">
        <v>4000000</v>
      </c>
    </row>
    <row r="29" spans="1:10" ht="105" x14ac:dyDescent="0.25">
      <c r="A29" s="154" t="s">
        <v>212</v>
      </c>
      <c r="B29" s="201">
        <v>12</v>
      </c>
      <c r="C29" s="196" t="s">
        <v>211</v>
      </c>
      <c r="D29" s="196" t="s">
        <v>197</v>
      </c>
      <c r="E29" s="28">
        <v>23163000</v>
      </c>
      <c r="F29" s="153"/>
      <c r="G29" s="153">
        <v>1000000</v>
      </c>
      <c r="H29" s="153">
        <v>10000000</v>
      </c>
      <c r="I29" s="153">
        <v>2163000</v>
      </c>
      <c r="J29" s="153">
        <v>10000000</v>
      </c>
    </row>
    <row r="30" spans="1:10" ht="60" x14ac:dyDescent="0.25">
      <c r="A30" s="154" t="s">
        <v>213</v>
      </c>
      <c r="B30" s="201">
        <v>12</v>
      </c>
      <c r="C30" s="196" t="s">
        <v>268</v>
      </c>
      <c r="D30" s="196" t="s">
        <v>197</v>
      </c>
      <c r="E30" s="28">
        <v>17762400</v>
      </c>
      <c r="F30" s="153"/>
      <c r="G30" s="153">
        <v>8897200</v>
      </c>
      <c r="H30" s="153">
        <v>4000000</v>
      </c>
      <c r="I30" s="153">
        <v>865200</v>
      </c>
      <c r="J30" s="153">
        <v>4000000</v>
      </c>
    </row>
    <row r="31" spans="1:10" ht="30" x14ac:dyDescent="0.25">
      <c r="A31" s="155">
        <v>4</v>
      </c>
      <c r="B31" s="201">
        <v>12</v>
      </c>
      <c r="C31" s="196" t="s">
        <v>269</v>
      </c>
      <c r="D31" s="196" t="s">
        <v>195</v>
      </c>
      <c r="E31" s="28">
        <v>75869768.599999994</v>
      </c>
      <c r="F31" s="153"/>
      <c r="G31" s="153">
        <v>28882468.600000001</v>
      </c>
      <c r="H31" s="153">
        <v>44500000</v>
      </c>
      <c r="I31" s="153">
        <v>262000</v>
      </c>
      <c r="J31" s="153">
        <v>2225300</v>
      </c>
    </row>
    <row r="32" spans="1:10" ht="98.4" customHeight="1" x14ac:dyDescent="0.25">
      <c r="A32" s="154" t="s">
        <v>214</v>
      </c>
      <c r="B32" s="201">
        <v>12</v>
      </c>
      <c r="C32" s="196" t="s">
        <v>397</v>
      </c>
      <c r="D32" s="196" t="s">
        <v>197</v>
      </c>
      <c r="E32" s="28">
        <v>75869768.599999994</v>
      </c>
      <c r="F32" s="153"/>
      <c r="G32" s="153">
        <v>28882468.600000001</v>
      </c>
      <c r="H32" s="153">
        <v>44500000</v>
      </c>
      <c r="I32" s="153">
        <v>262000</v>
      </c>
      <c r="J32" s="153">
        <v>2225300</v>
      </c>
    </row>
    <row r="33" spans="1:18" ht="15" x14ac:dyDescent="0.25">
      <c r="A33" s="155">
        <v>5</v>
      </c>
      <c r="B33" s="201">
        <v>12</v>
      </c>
      <c r="C33" s="196" t="s">
        <v>215</v>
      </c>
      <c r="D33" s="196" t="s">
        <v>195</v>
      </c>
      <c r="E33" s="28">
        <v>4000000</v>
      </c>
      <c r="F33" s="153"/>
      <c r="G33" s="153"/>
      <c r="H33" s="153"/>
      <c r="I33" s="153">
        <v>2000000</v>
      </c>
      <c r="J33" s="153">
        <v>2000000</v>
      </c>
      <c r="M33" s="96"/>
      <c r="N33" s="96"/>
      <c r="O33" s="96"/>
      <c r="P33" s="96"/>
      <c r="Q33" s="96"/>
      <c r="R33" s="96"/>
    </row>
    <row r="34" spans="1:18" ht="60" x14ac:dyDescent="0.25">
      <c r="A34" s="154" t="s">
        <v>216</v>
      </c>
      <c r="B34" s="201">
        <v>12</v>
      </c>
      <c r="C34" s="196" t="s">
        <v>228</v>
      </c>
      <c r="D34" s="196" t="s">
        <v>197</v>
      </c>
      <c r="E34" s="28">
        <v>4000000</v>
      </c>
      <c r="F34" s="153"/>
      <c r="G34" s="153"/>
      <c r="H34" s="153"/>
      <c r="I34" s="153">
        <v>2000000</v>
      </c>
      <c r="J34" s="153">
        <v>2000000</v>
      </c>
    </row>
    <row r="35" spans="1:18" ht="15" x14ac:dyDescent="0.25">
      <c r="A35" s="155">
        <v>6</v>
      </c>
      <c r="B35" s="201">
        <v>12</v>
      </c>
      <c r="C35" s="196" t="s">
        <v>217</v>
      </c>
      <c r="D35" s="196" t="s">
        <v>195</v>
      </c>
      <c r="E35" s="28">
        <v>100000</v>
      </c>
      <c r="F35" s="153"/>
      <c r="G35" s="153">
        <v>100000</v>
      </c>
      <c r="H35" s="153"/>
      <c r="I35" s="153"/>
      <c r="J35" s="153"/>
    </row>
    <row r="36" spans="1:18" ht="135" x14ac:dyDescent="0.25">
      <c r="A36" s="154" t="s">
        <v>218</v>
      </c>
      <c r="B36" s="201">
        <v>12</v>
      </c>
      <c r="C36" s="196" t="s">
        <v>383</v>
      </c>
      <c r="D36" s="196" t="s">
        <v>197</v>
      </c>
      <c r="E36" s="28">
        <v>100000</v>
      </c>
      <c r="F36" s="153"/>
      <c r="G36" s="153">
        <v>100000</v>
      </c>
      <c r="H36" s="153"/>
      <c r="I36" s="153"/>
      <c r="J36" s="153"/>
    </row>
    <row r="37" spans="1:18" ht="15" x14ac:dyDescent="0.25">
      <c r="A37" s="155">
        <v>1</v>
      </c>
      <c r="B37" s="202">
        <v>2</v>
      </c>
      <c r="C37" s="196" t="s">
        <v>217</v>
      </c>
      <c r="D37" s="196" t="s">
        <v>195</v>
      </c>
      <c r="E37" s="28">
        <v>1389255.19</v>
      </c>
      <c r="F37" s="153"/>
      <c r="G37" s="153">
        <v>1389255.19</v>
      </c>
      <c r="H37" s="153"/>
      <c r="I37" s="153"/>
      <c r="J37" s="153"/>
    </row>
    <row r="38" spans="1:18" ht="90" x14ac:dyDescent="0.25">
      <c r="A38" s="154" t="s">
        <v>7</v>
      </c>
      <c r="B38" s="202">
        <v>2</v>
      </c>
      <c r="C38" s="196" t="s">
        <v>225</v>
      </c>
      <c r="D38" s="196" t="s">
        <v>197</v>
      </c>
      <c r="E38" s="28">
        <v>1389255.19</v>
      </c>
      <c r="F38" s="153"/>
      <c r="G38" s="153">
        <v>1389255.19</v>
      </c>
      <c r="H38" s="153"/>
      <c r="I38" s="153"/>
      <c r="J38" s="153"/>
    </row>
    <row r="39" spans="1:18" ht="15" x14ac:dyDescent="0.25">
      <c r="A39" s="155">
        <v>1</v>
      </c>
      <c r="B39" s="202">
        <v>6</v>
      </c>
      <c r="C39" s="196" t="s">
        <v>219</v>
      </c>
      <c r="D39" s="196" t="s">
        <v>195</v>
      </c>
      <c r="E39" s="28">
        <v>753307303.11000001</v>
      </c>
      <c r="F39" s="153"/>
      <c r="G39" s="153">
        <v>406396153.11000001</v>
      </c>
      <c r="H39" s="153">
        <v>56911150</v>
      </c>
      <c r="I39" s="153">
        <v>96000000</v>
      </c>
      <c r="J39" s="153">
        <v>194000000</v>
      </c>
    </row>
    <row r="40" spans="1:18" ht="90" x14ac:dyDescent="0.25">
      <c r="A40" s="154" t="s">
        <v>7</v>
      </c>
      <c r="B40" s="202">
        <v>6</v>
      </c>
      <c r="C40" s="196" t="s">
        <v>270</v>
      </c>
      <c r="D40" s="196" t="s">
        <v>197</v>
      </c>
      <c r="E40" s="28">
        <v>753307303.11000001</v>
      </c>
      <c r="F40" s="153"/>
      <c r="G40" s="153">
        <v>406396153.11000001</v>
      </c>
      <c r="H40" s="153">
        <v>56911150</v>
      </c>
      <c r="I40" s="153">
        <v>96000000</v>
      </c>
      <c r="J40" s="153">
        <v>194000000</v>
      </c>
    </row>
    <row r="41" spans="1:18" ht="15" x14ac:dyDescent="0.25">
      <c r="A41" s="155">
        <v>1</v>
      </c>
      <c r="B41" s="202">
        <v>7</v>
      </c>
      <c r="C41" s="196" t="s">
        <v>220</v>
      </c>
      <c r="D41" s="196" t="s">
        <v>195</v>
      </c>
      <c r="E41" s="28">
        <v>730036468.07000005</v>
      </c>
      <c r="F41" s="153"/>
      <c r="G41" s="153">
        <v>283487268.06999999</v>
      </c>
      <c r="H41" s="153">
        <v>84854400</v>
      </c>
      <c r="I41" s="153">
        <v>150000000</v>
      </c>
      <c r="J41" s="153">
        <v>211694800</v>
      </c>
    </row>
    <row r="42" spans="1:18" ht="75" x14ac:dyDescent="0.25">
      <c r="A42" s="154" t="s">
        <v>7</v>
      </c>
      <c r="B42" s="202">
        <v>7</v>
      </c>
      <c r="C42" s="196" t="s">
        <v>271</v>
      </c>
      <c r="D42" s="196" t="s">
        <v>197</v>
      </c>
      <c r="E42" s="28">
        <v>403485882.38</v>
      </c>
      <c r="F42" s="153"/>
      <c r="G42" s="153">
        <v>229014319.41</v>
      </c>
      <c r="H42" s="153">
        <v>43225425.359999999</v>
      </c>
      <c r="I42" s="153">
        <v>58196486.439999998</v>
      </c>
      <c r="J42" s="153">
        <v>73049651.170000002</v>
      </c>
    </row>
    <row r="43" spans="1:18" ht="60" x14ac:dyDescent="0.25">
      <c r="A43" s="154" t="s">
        <v>8</v>
      </c>
      <c r="B43" s="202">
        <v>7</v>
      </c>
      <c r="C43" s="196" t="s">
        <v>221</v>
      </c>
      <c r="D43" s="196" t="s">
        <v>197</v>
      </c>
      <c r="E43" s="28">
        <v>70636016.689999998</v>
      </c>
      <c r="F43" s="153"/>
      <c r="G43" s="153">
        <v>20575000</v>
      </c>
      <c r="H43" s="153">
        <v>10273846.220000001</v>
      </c>
      <c r="I43" s="153">
        <v>21838345.809999999</v>
      </c>
      <c r="J43" s="153">
        <v>17948824.66</v>
      </c>
    </row>
    <row r="44" spans="1:18" ht="60" x14ac:dyDescent="0.25">
      <c r="A44" s="154" t="s">
        <v>198</v>
      </c>
      <c r="B44" s="202">
        <v>7</v>
      </c>
      <c r="C44" s="196" t="s">
        <v>222</v>
      </c>
      <c r="D44" s="196" t="s">
        <v>197</v>
      </c>
      <c r="E44" s="28">
        <v>23114881.760000002</v>
      </c>
      <c r="F44" s="153"/>
      <c r="G44" s="153">
        <v>977949.08</v>
      </c>
      <c r="H44" s="153">
        <v>4163375.98</v>
      </c>
      <c r="I44" s="153">
        <v>2528171.54</v>
      </c>
      <c r="J44" s="153">
        <v>15445385.16</v>
      </c>
    </row>
    <row r="45" spans="1:18" ht="60" x14ac:dyDescent="0.25">
      <c r="A45" s="154" t="s">
        <v>200</v>
      </c>
      <c r="B45" s="202">
        <v>7</v>
      </c>
      <c r="C45" s="196" t="s">
        <v>272</v>
      </c>
      <c r="D45" s="196" t="s">
        <v>197</v>
      </c>
      <c r="E45" s="28">
        <v>151394052.44999999</v>
      </c>
      <c r="F45" s="153"/>
      <c r="G45" s="153"/>
      <c r="H45" s="153">
        <v>16132383.25</v>
      </c>
      <c r="I45" s="153">
        <v>37733422.770000003</v>
      </c>
      <c r="J45" s="153">
        <v>97528246.430000007</v>
      </c>
    </row>
    <row r="46" spans="1:18" ht="70.2" customHeight="1" x14ac:dyDescent="0.25">
      <c r="A46" s="154" t="s">
        <v>202</v>
      </c>
      <c r="B46" s="202">
        <v>7</v>
      </c>
      <c r="C46" s="196" t="s">
        <v>234</v>
      </c>
      <c r="D46" s="196" t="s">
        <v>273</v>
      </c>
      <c r="E46" s="28">
        <v>65244566.039999999</v>
      </c>
      <c r="F46" s="153"/>
      <c r="G46" s="153">
        <v>32919999.579999998</v>
      </c>
      <c r="H46" s="153">
        <v>9396492.7599999998</v>
      </c>
      <c r="I46" s="153">
        <v>22928073.699999999</v>
      </c>
      <c r="J46" s="153"/>
    </row>
    <row r="47" spans="1:18" ht="60" x14ac:dyDescent="0.25">
      <c r="A47" s="154" t="s">
        <v>203</v>
      </c>
      <c r="B47" s="202">
        <v>7</v>
      </c>
      <c r="C47" s="196" t="s">
        <v>274</v>
      </c>
      <c r="D47" s="196" t="s">
        <v>197</v>
      </c>
      <c r="E47" s="28">
        <v>16161068.75</v>
      </c>
      <c r="F47" s="153"/>
      <c r="G47" s="153"/>
      <c r="H47" s="153">
        <v>1662876.43</v>
      </c>
      <c r="I47" s="153">
        <v>6775499.7400000002</v>
      </c>
      <c r="J47" s="153">
        <v>7722692.5800000001</v>
      </c>
    </row>
    <row r="48" spans="1:18" ht="15" x14ac:dyDescent="0.25">
      <c r="A48" s="155">
        <v>1</v>
      </c>
      <c r="B48" s="201">
        <v>18</v>
      </c>
      <c r="C48" s="196" t="s">
        <v>217</v>
      </c>
      <c r="D48" s="196" t="s">
        <v>195</v>
      </c>
      <c r="E48" s="28">
        <v>37165799.68</v>
      </c>
      <c r="F48" s="153"/>
      <c r="G48" s="153">
        <v>37165799.68</v>
      </c>
      <c r="H48" s="153"/>
      <c r="I48" s="153"/>
      <c r="J48" s="153"/>
    </row>
    <row r="49" spans="1:10" ht="60" x14ac:dyDescent="0.25">
      <c r="A49" s="154" t="s">
        <v>7</v>
      </c>
      <c r="B49" s="201">
        <v>18</v>
      </c>
      <c r="C49" s="196" t="s">
        <v>275</v>
      </c>
      <c r="D49" s="196" t="s">
        <v>197</v>
      </c>
      <c r="E49" s="28">
        <v>10165799.68</v>
      </c>
      <c r="F49" s="153"/>
      <c r="G49" s="153">
        <v>10165799.68</v>
      </c>
      <c r="H49" s="153"/>
      <c r="I49" s="153"/>
      <c r="J49" s="153"/>
    </row>
    <row r="50" spans="1:10" ht="105" x14ac:dyDescent="0.25">
      <c r="A50" s="154" t="s">
        <v>8</v>
      </c>
      <c r="B50" s="201">
        <v>18</v>
      </c>
      <c r="C50" s="196" t="s">
        <v>406</v>
      </c>
      <c r="D50" s="196" t="s">
        <v>393</v>
      </c>
      <c r="E50" s="28">
        <v>27000000</v>
      </c>
      <c r="F50" s="153"/>
      <c r="G50" s="153">
        <v>27000000</v>
      </c>
      <c r="H50" s="153"/>
      <c r="I50" s="153"/>
      <c r="J50" s="153"/>
    </row>
    <row r="51" spans="1:10" ht="15" x14ac:dyDescent="0.25">
      <c r="A51" s="155">
        <v>1</v>
      </c>
      <c r="B51" s="201">
        <v>10</v>
      </c>
      <c r="C51" s="196" t="s">
        <v>217</v>
      </c>
      <c r="D51" s="196" t="s">
        <v>195</v>
      </c>
      <c r="E51" s="28">
        <v>86479450</v>
      </c>
      <c r="F51" s="153"/>
      <c r="G51" s="153">
        <v>13145000</v>
      </c>
      <c r="H51" s="153">
        <v>28334450</v>
      </c>
      <c r="I51" s="153">
        <v>20000000</v>
      </c>
      <c r="J51" s="153">
        <v>25000000</v>
      </c>
    </row>
    <row r="52" spans="1:10" ht="60" x14ac:dyDescent="0.25">
      <c r="A52" s="154" t="s">
        <v>7</v>
      </c>
      <c r="B52" s="201">
        <v>10</v>
      </c>
      <c r="C52" s="196" t="s">
        <v>276</v>
      </c>
      <c r="D52" s="196" t="s">
        <v>394</v>
      </c>
      <c r="E52" s="28">
        <v>86479450</v>
      </c>
      <c r="F52" s="153"/>
      <c r="G52" s="153">
        <v>13145000</v>
      </c>
      <c r="H52" s="153">
        <v>28334450</v>
      </c>
      <c r="I52" s="153">
        <v>20000000</v>
      </c>
      <c r="J52" s="153">
        <v>25000000</v>
      </c>
    </row>
    <row r="53" spans="1:10" ht="15" x14ac:dyDescent="0.25">
      <c r="A53" s="155">
        <v>1</v>
      </c>
      <c r="B53" s="202">
        <v>8</v>
      </c>
      <c r="C53" s="196" t="s">
        <v>215</v>
      </c>
      <c r="D53" s="196" t="s">
        <v>195</v>
      </c>
      <c r="E53" s="28">
        <v>13009539</v>
      </c>
      <c r="F53" s="153"/>
      <c r="G53" s="153">
        <v>3009539</v>
      </c>
      <c r="H53" s="153"/>
      <c r="I53" s="153">
        <v>4000000</v>
      </c>
      <c r="J53" s="153">
        <v>6000000</v>
      </c>
    </row>
    <row r="54" spans="1:10" ht="60" x14ac:dyDescent="0.25">
      <c r="A54" s="154" t="s">
        <v>7</v>
      </c>
      <c r="B54" s="202">
        <v>8</v>
      </c>
      <c r="C54" s="196" t="s">
        <v>277</v>
      </c>
      <c r="D54" s="196" t="s">
        <v>394</v>
      </c>
      <c r="E54" s="28">
        <v>13009539</v>
      </c>
      <c r="F54" s="153"/>
      <c r="G54" s="153">
        <v>3009539</v>
      </c>
      <c r="H54" s="153"/>
      <c r="I54" s="153">
        <v>4000000</v>
      </c>
      <c r="J54" s="153">
        <v>6000000</v>
      </c>
    </row>
    <row r="55" spans="1:10" ht="30" x14ac:dyDescent="0.25">
      <c r="A55" s="155">
        <v>1</v>
      </c>
      <c r="B55" s="201">
        <v>42</v>
      </c>
      <c r="C55" s="196" t="s">
        <v>194</v>
      </c>
      <c r="D55" s="196" t="s">
        <v>195</v>
      </c>
      <c r="E55" s="28">
        <v>4900000</v>
      </c>
      <c r="F55" s="153"/>
      <c r="G55" s="153">
        <v>600000</v>
      </c>
      <c r="H55" s="153">
        <v>1700000</v>
      </c>
      <c r="I55" s="153">
        <v>600000</v>
      </c>
      <c r="J55" s="153">
        <v>2000000</v>
      </c>
    </row>
    <row r="56" spans="1:10" ht="60" x14ac:dyDescent="0.25">
      <c r="A56" s="154" t="s">
        <v>7</v>
      </c>
      <c r="B56" s="201">
        <v>42</v>
      </c>
      <c r="C56" s="196" t="s">
        <v>278</v>
      </c>
      <c r="D56" s="196" t="s">
        <v>197</v>
      </c>
      <c r="E56" s="28">
        <v>4300000</v>
      </c>
      <c r="F56" s="153"/>
      <c r="G56" s="153"/>
      <c r="H56" s="153">
        <v>1700000</v>
      </c>
      <c r="I56" s="153">
        <v>600000</v>
      </c>
      <c r="J56" s="153">
        <v>2000000</v>
      </c>
    </row>
    <row r="57" spans="1:10" ht="60" x14ac:dyDescent="0.25">
      <c r="A57" s="154" t="s">
        <v>8</v>
      </c>
      <c r="B57" s="201">
        <v>42</v>
      </c>
      <c r="C57" s="196" t="s">
        <v>223</v>
      </c>
      <c r="D57" s="196" t="s">
        <v>394</v>
      </c>
      <c r="E57" s="28">
        <v>600000</v>
      </c>
      <c r="F57" s="153"/>
      <c r="G57" s="153">
        <v>600000</v>
      </c>
      <c r="H57" s="153"/>
      <c r="I57" s="153"/>
      <c r="J57" s="153"/>
    </row>
    <row r="58" spans="1:10" ht="15" x14ac:dyDescent="0.25">
      <c r="A58" s="155">
        <v>2</v>
      </c>
      <c r="B58" s="201">
        <v>42</v>
      </c>
      <c r="C58" s="196" t="s">
        <v>208</v>
      </c>
      <c r="D58" s="196" t="s">
        <v>195</v>
      </c>
      <c r="E58" s="28">
        <v>9550000</v>
      </c>
      <c r="F58" s="153"/>
      <c r="G58" s="153">
        <v>2900000</v>
      </c>
      <c r="H58" s="153">
        <v>3000000</v>
      </c>
      <c r="I58" s="153">
        <v>650000</v>
      </c>
      <c r="J58" s="153">
        <v>3000000</v>
      </c>
    </row>
    <row r="59" spans="1:10" ht="60" x14ac:dyDescent="0.25">
      <c r="A59" s="154" t="s">
        <v>206</v>
      </c>
      <c r="B59" s="201">
        <v>42</v>
      </c>
      <c r="C59" s="196" t="s">
        <v>268</v>
      </c>
      <c r="D59" s="196" t="s">
        <v>197</v>
      </c>
      <c r="E59" s="28">
        <v>9550000</v>
      </c>
      <c r="F59" s="153"/>
      <c r="G59" s="153">
        <v>2900000</v>
      </c>
      <c r="H59" s="153">
        <v>3000000</v>
      </c>
      <c r="I59" s="153">
        <v>650000</v>
      </c>
      <c r="J59" s="153">
        <v>3000000</v>
      </c>
    </row>
    <row r="60" spans="1:10" ht="30" x14ac:dyDescent="0.25">
      <c r="A60" s="155">
        <v>3</v>
      </c>
      <c r="B60" s="201">
        <v>42</v>
      </c>
      <c r="C60" s="196" t="s">
        <v>269</v>
      </c>
      <c r="D60" s="196" t="s">
        <v>195</v>
      </c>
      <c r="E60" s="28">
        <v>17310463</v>
      </c>
      <c r="F60" s="153"/>
      <c r="G60" s="153"/>
      <c r="H60" s="153">
        <v>5362831</v>
      </c>
      <c r="I60" s="153">
        <v>820973</v>
      </c>
      <c r="J60" s="153">
        <v>11126659</v>
      </c>
    </row>
    <row r="61" spans="1:10" ht="90" x14ac:dyDescent="0.25">
      <c r="A61" s="154" t="s">
        <v>209</v>
      </c>
      <c r="B61" s="201">
        <v>42</v>
      </c>
      <c r="C61" s="196" t="s">
        <v>279</v>
      </c>
      <c r="D61" s="196" t="s">
        <v>197</v>
      </c>
      <c r="E61" s="28">
        <v>17310463</v>
      </c>
      <c r="F61" s="153"/>
      <c r="G61" s="153"/>
      <c r="H61" s="153">
        <v>5362831</v>
      </c>
      <c r="I61" s="153">
        <v>820973</v>
      </c>
      <c r="J61" s="153">
        <v>11126659</v>
      </c>
    </row>
    <row r="62" spans="1:10" ht="30" x14ac:dyDescent="0.25">
      <c r="A62" s="155">
        <v>1</v>
      </c>
      <c r="B62" s="201">
        <v>41</v>
      </c>
      <c r="C62" s="196" t="s">
        <v>194</v>
      </c>
      <c r="D62" s="196" t="s">
        <v>195</v>
      </c>
      <c r="E62" s="28">
        <v>4900000</v>
      </c>
      <c r="F62" s="153"/>
      <c r="G62" s="153">
        <v>600000</v>
      </c>
      <c r="H62" s="153">
        <v>1700000</v>
      </c>
      <c r="I62" s="153">
        <v>600000</v>
      </c>
      <c r="J62" s="153">
        <v>2000000</v>
      </c>
    </row>
    <row r="63" spans="1:10" ht="60" x14ac:dyDescent="0.25">
      <c r="A63" s="154" t="s">
        <v>7</v>
      </c>
      <c r="B63" s="201">
        <v>41</v>
      </c>
      <c r="C63" s="196" t="s">
        <v>223</v>
      </c>
      <c r="D63" s="196" t="s">
        <v>197</v>
      </c>
      <c r="E63" s="28">
        <v>4900000</v>
      </c>
      <c r="F63" s="153"/>
      <c r="G63" s="153">
        <v>600000</v>
      </c>
      <c r="H63" s="153">
        <v>1700000</v>
      </c>
      <c r="I63" s="153">
        <v>600000</v>
      </c>
      <c r="J63" s="153">
        <v>2000000</v>
      </c>
    </row>
    <row r="64" spans="1:10" ht="15" x14ac:dyDescent="0.25">
      <c r="A64" s="155">
        <v>2</v>
      </c>
      <c r="B64" s="201">
        <v>41</v>
      </c>
      <c r="C64" s="196" t="s">
        <v>208</v>
      </c>
      <c r="D64" s="196" t="s">
        <v>195</v>
      </c>
      <c r="E64" s="28">
        <v>21453361</v>
      </c>
      <c r="F64" s="153"/>
      <c r="G64" s="153">
        <v>10377361</v>
      </c>
      <c r="H64" s="153">
        <v>5000000</v>
      </c>
      <c r="I64" s="153">
        <v>1076000</v>
      </c>
      <c r="J64" s="153">
        <v>5000000</v>
      </c>
    </row>
    <row r="65" spans="1:10" ht="63.6" customHeight="1" x14ac:dyDescent="0.25">
      <c r="A65" s="154" t="s">
        <v>206</v>
      </c>
      <c r="B65" s="201">
        <v>41</v>
      </c>
      <c r="C65" s="196" t="s">
        <v>280</v>
      </c>
      <c r="D65" s="196" t="s">
        <v>197</v>
      </c>
      <c r="E65" s="28">
        <v>17651803</v>
      </c>
      <c r="F65" s="153"/>
      <c r="G65" s="153">
        <v>6575803</v>
      </c>
      <c r="H65" s="153">
        <v>5000000</v>
      </c>
      <c r="I65" s="153">
        <v>1076000</v>
      </c>
      <c r="J65" s="153">
        <v>5000000</v>
      </c>
    </row>
    <row r="66" spans="1:10" ht="60" x14ac:dyDescent="0.25">
      <c r="A66" s="154" t="s">
        <v>224</v>
      </c>
      <c r="B66" s="201">
        <v>41</v>
      </c>
      <c r="C66" s="196" t="s">
        <v>226</v>
      </c>
      <c r="D66" s="196" t="s">
        <v>197</v>
      </c>
      <c r="E66" s="28">
        <v>3801558</v>
      </c>
      <c r="F66" s="153"/>
      <c r="G66" s="153">
        <v>3801558</v>
      </c>
      <c r="H66" s="153"/>
      <c r="I66" s="153"/>
      <c r="J66" s="153"/>
    </row>
    <row r="67" spans="1:10" ht="30" x14ac:dyDescent="0.25">
      <c r="A67" s="155">
        <v>3</v>
      </c>
      <c r="B67" s="201">
        <v>41</v>
      </c>
      <c r="C67" s="196" t="s">
        <v>269</v>
      </c>
      <c r="D67" s="196" t="s">
        <v>195</v>
      </c>
      <c r="E67" s="28">
        <v>15395576</v>
      </c>
      <c r="F67" s="153"/>
      <c r="G67" s="153"/>
      <c r="H67" s="153">
        <v>3448300</v>
      </c>
      <c r="I67" s="153">
        <v>375550</v>
      </c>
      <c r="J67" s="153">
        <v>11571726</v>
      </c>
    </row>
    <row r="68" spans="1:10" ht="90" x14ac:dyDescent="0.25">
      <c r="A68" s="154" t="s">
        <v>209</v>
      </c>
      <c r="B68" s="201">
        <v>41</v>
      </c>
      <c r="C68" s="196" t="s">
        <v>281</v>
      </c>
      <c r="D68" s="196" t="s">
        <v>197</v>
      </c>
      <c r="E68" s="28">
        <v>15395576</v>
      </c>
      <c r="F68" s="153"/>
      <c r="G68" s="153"/>
      <c r="H68" s="153">
        <v>3448300</v>
      </c>
      <c r="I68" s="153">
        <v>375550</v>
      </c>
      <c r="J68" s="153">
        <v>11571726</v>
      </c>
    </row>
    <row r="69" spans="1:10" ht="15" x14ac:dyDescent="0.25">
      <c r="A69" s="155">
        <v>4</v>
      </c>
      <c r="B69" s="201">
        <v>41</v>
      </c>
      <c r="C69" s="196" t="s">
        <v>215</v>
      </c>
      <c r="D69" s="196" t="s">
        <v>195</v>
      </c>
      <c r="E69" s="28">
        <v>1100000</v>
      </c>
      <c r="F69" s="153"/>
      <c r="G69" s="153">
        <v>1100000</v>
      </c>
      <c r="H69" s="153"/>
      <c r="I69" s="153"/>
      <c r="J69" s="153"/>
    </row>
    <row r="70" spans="1:10" ht="60" x14ac:dyDescent="0.25">
      <c r="A70" s="154" t="s">
        <v>214</v>
      </c>
      <c r="B70" s="201">
        <v>41</v>
      </c>
      <c r="C70" s="196" t="s">
        <v>228</v>
      </c>
      <c r="D70" s="196" t="s">
        <v>197</v>
      </c>
      <c r="E70" s="28">
        <v>500000</v>
      </c>
      <c r="F70" s="153"/>
      <c r="G70" s="153">
        <v>500000</v>
      </c>
      <c r="H70" s="153"/>
      <c r="I70" s="153"/>
      <c r="J70" s="153"/>
    </row>
    <row r="71" spans="1:10" ht="60" x14ac:dyDescent="0.25">
      <c r="A71" s="154" t="s">
        <v>227</v>
      </c>
      <c r="B71" s="201">
        <v>41</v>
      </c>
      <c r="C71" s="196" t="s">
        <v>282</v>
      </c>
      <c r="D71" s="196" t="s">
        <v>197</v>
      </c>
      <c r="E71" s="28">
        <v>600000</v>
      </c>
      <c r="F71" s="153"/>
      <c r="G71" s="153">
        <v>600000</v>
      </c>
      <c r="H71" s="153"/>
      <c r="I71" s="153"/>
      <c r="J71" s="153"/>
    </row>
    <row r="72" spans="1:10" ht="30" x14ac:dyDescent="0.25">
      <c r="A72" s="155">
        <v>1</v>
      </c>
      <c r="B72" s="201">
        <v>44</v>
      </c>
      <c r="C72" s="196" t="s">
        <v>194</v>
      </c>
      <c r="D72" s="196" t="s">
        <v>195</v>
      </c>
      <c r="E72" s="28">
        <v>4900000</v>
      </c>
      <c r="F72" s="153"/>
      <c r="G72" s="153">
        <v>600000</v>
      </c>
      <c r="H72" s="153">
        <v>1700000</v>
      </c>
      <c r="I72" s="153">
        <v>600000</v>
      </c>
      <c r="J72" s="153">
        <v>2000000</v>
      </c>
    </row>
    <row r="73" spans="1:10" ht="60" x14ac:dyDescent="0.25">
      <c r="A73" s="154" t="s">
        <v>7</v>
      </c>
      <c r="B73" s="201">
        <v>44</v>
      </c>
      <c r="C73" s="196" t="s">
        <v>223</v>
      </c>
      <c r="D73" s="196" t="s">
        <v>197</v>
      </c>
      <c r="E73" s="28">
        <v>4900000</v>
      </c>
      <c r="F73" s="153"/>
      <c r="G73" s="153">
        <v>600000</v>
      </c>
      <c r="H73" s="153">
        <v>1700000</v>
      </c>
      <c r="I73" s="153">
        <v>600000</v>
      </c>
      <c r="J73" s="153">
        <v>2000000</v>
      </c>
    </row>
    <row r="74" spans="1:10" ht="15" x14ac:dyDescent="0.25">
      <c r="A74" s="155">
        <v>2</v>
      </c>
      <c r="B74" s="201">
        <v>44</v>
      </c>
      <c r="C74" s="196" t="s">
        <v>208</v>
      </c>
      <c r="D74" s="196" t="s">
        <v>195</v>
      </c>
      <c r="E74" s="28">
        <v>9150000</v>
      </c>
      <c r="F74" s="153"/>
      <c r="G74" s="153">
        <v>2500000</v>
      </c>
      <c r="H74" s="153">
        <v>3000000</v>
      </c>
      <c r="I74" s="153">
        <v>650000</v>
      </c>
      <c r="J74" s="153">
        <v>3000000</v>
      </c>
    </row>
    <row r="75" spans="1:10" ht="60" x14ac:dyDescent="0.25">
      <c r="A75" s="154" t="s">
        <v>206</v>
      </c>
      <c r="B75" s="201">
        <v>44</v>
      </c>
      <c r="C75" s="196" t="s">
        <v>268</v>
      </c>
      <c r="D75" s="196" t="s">
        <v>197</v>
      </c>
      <c r="E75" s="28">
        <v>9150000</v>
      </c>
      <c r="F75" s="153"/>
      <c r="G75" s="153">
        <v>2500000</v>
      </c>
      <c r="H75" s="153">
        <v>3000000</v>
      </c>
      <c r="I75" s="153">
        <v>650000</v>
      </c>
      <c r="J75" s="153">
        <v>3000000</v>
      </c>
    </row>
    <row r="76" spans="1:10" ht="30" x14ac:dyDescent="0.25">
      <c r="A76" s="155">
        <v>3</v>
      </c>
      <c r="B76" s="201">
        <v>44</v>
      </c>
      <c r="C76" s="196" t="s">
        <v>269</v>
      </c>
      <c r="D76" s="196" t="s">
        <v>195</v>
      </c>
      <c r="E76" s="28">
        <v>19388410</v>
      </c>
      <c r="F76" s="153"/>
      <c r="G76" s="153"/>
      <c r="H76" s="153">
        <v>8033520</v>
      </c>
      <c r="I76" s="153">
        <v>1125781</v>
      </c>
      <c r="J76" s="153">
        <v>10229109</v>
      </c>
    </row>
    <row r="77" spans="1:10" ht="90" x14ac:dyDescent="0.25">
      <c r="A77" s="154" t="s">
        <v>209</v>
      </c>
      <c r="B77" s="201">
        <v>44</v>
      </c>
      <c r="C77" s="196" t="s">
        <v>281</v>
      </c>
      <c r="D77" s="196" t="s">
        <v>197</v>
      </c>
      <c r="E77" s="28">
        <v>19388410</v>
      </c>
      <c r="F77" s="153"/>
      <c r="G77" s="153"/>
      <c r="H77" s="153">
        <v>8033520</v>
      </c>
      <c r="I77" s="153">
        <v>1125781</v>
      </c>
      <c r="J77" s="153">
        <v>10229109</v>
      </c>
    </row>
    <row r="78" spans="1:10" ht="15" x14ac:dyDescent="0.25">
      <c r="A78" s="155">
        <v>4</v>
      </c>
      <c r="B78" s="201">
        <v>44</v>
      </c>
      <c r="C78" s="196" t="s">
        <v>217</v>
      </c>
      <c r="D78" s="196" t="s">
        <v>195</v>
      </c>
      <c r="E78" s="28">
        <v>26500000</v>
      </c>
      <c r="F78" s="153"/>
      <c r="G78" s="153">
        <v>26500000</v>
      </c>
      <c r="H78" s="153"/>
      <c r="I78" s="153"/>
      <c r="J78" s="153"/>
    </row>
    <row r="79" spans="1:10" ht="126.6" customHeight="1" x14ac:dyDescent="0.25">
      <c r="A79" s="154" t="s">
        <v>214</v>
      </c>
      <c r="B79" s="201">
        <v>44</v>
      </c>
      <c r="C79" s="196" t="s">
        <v>385</v>
      </c>
      <c r="D79" s="196" t="s">
        <v>394</v>
      </c>
      <c r="E79" s="28">
        <v>26500000</v>
      </c>
      <c r="F79" s="153"/>
      <c r="G79" s="153">
        <v>26500000</v>
      </c>
      <c r="H79" s="153"/>
      <c r="I79" s="153"/>
      <c r="J79" s="153"/>
    </row>
    <row r="80" spans="1:10" ht="30" x14ac:dyDescent="0.25">
      <c r="A80" s="155">
        <v>1</v>
      </c>
      <c r="B80" s="201">
        <v>45</v>
      </c>
      <c r="C80" s="196" t="s">
        <v>194</v>
      </c>
      <c r="D80" s="196" t="s">
        <v>195</v>
      </c>
      <c r="E80" s="28">
        <v>4900000</v>
      </c>
      <c r="F80" s="153"/>
      <c r="G80" s="153">
        <v>600000</v>
      </c>
      <c r="H80" s="153">
        <v>1700000</v>
      </c>
      <c r="I80" s="153">
        <v>600000</v>
      </c>
      <c r="J80" s="153">
        <v>2000000</v>
      </c>
    </row>
    <row r="81" spans="1:10" ht="60" x14ac:dyDescent="0.25">
      <c r="A81" s="154" t="s">
        <v>7</v>
      </c>
      <c r="B81" s="201">
        <v>45</v>
      </c>
      <c r="C81" s="196" t="s">
        <v>223</v>
      </c>
      <c r="D81" s="196" t="s">
        <v>197</v>
      </c>
      <c r="E81" s="28">
        <v>3700000</v>
      </c>
      <c r="F81" s="153"/>
      <c r="G81" s="153">
        <v>600000</v>
      </c>
      <c r="H81" s="153">
        <v>1200000</v>
      </c>
      <c r="I81" s="153">
        <v>400000</v>
      </c>
      <c r="J81" s="153">
        <v>1500000</v>
      </c>
    </row>
    <row r="82" spans="1:10" ht="60" x14ac:dyDescent="0.25">
      <c r="A82" s="154" t="s">
        <v>8</v>
      </c>
      <c r="B82" s="201">
        <v>45</v>
      </c>
      <c r="C82" s="196" t="s">
        <v>283</v>
      </c>
      <c r="D82" s="196" t="s">
        <v>197</v>
      </c>
      <c r="E82" s="28">
        <v>1200000</v>
      </c>
      <c r="F82" s="153"/>
      <c r="G82" s="153"/>
      <c r="H82" s="153">
        <v>500000</v>
      </c>
      <c r="I82" s="153">
        <v>200000</v>
      </c>
      <c r="J82" s="153">
        <v>500000</v>
      </c>
    </row>
    <row r="83" spans="1:10" ht="15" x14ac:dyDescent="0.25">
      <c r="A83" s="155">
        <v>2</v>
      </c>
      <c r="B83" s="201">
        <v>45</v>
      </c>
      <c r="C83" s="196" t="s">
        <v>208</v>
      </c>
      <c r="D83" s="196" t="s">
        <v>195</v>
      </c>
      <c r="E83" s="28">
        <v>9800000</v>
      </c>
      <c r="F83" s="153"/>
      <c r="G83" s="153">
        <v>3150000</v>
      </c>
      <c r="H83" s="153">
        <v>3000000</v>
      </c>
      <c r="I83" s="153">
        <v>650000</v>
      </c>
      <c r="J83" s="153">
        <v>3000000</v>
      </c>
    </row>
    <row r="84" spans="1:10" ht="60" x14ac:dyDescent="0.25">
      <c r="A84" s="154" t="s">
        <v>206</v>
      </c>
      <c r="B84" s="201">
        <v>45</v>
      </c>
      <c r="C84" s="196" t="s">
        <v>268</v>
      </c>
      <c r="D84" s="196" t="s">
        <v>197</v>
      </c>
      <c r="E84" s="28">
        <v>9800000</v>
      </c>
      <c r="F84" s="153"/>
      <c r="G84" s="153">
        <v>3150000</v>
      </c>
      <c r="H84" s="153">
        <v>3000000</v>
      </c>
      <c r="I84" s="153">
        <v>650000</v>
      </c>
      <c r="J84" s="153">
        <v>3000000</v>
      </c>
    </row>
    <row r="85" spans="1:10" ht="30" x14ac:dyDescent="0.25">
      <c r="A85" s="155">
        <v>3</v>
      </c>
      <c r="B85" s="201">
        <v>45</v>
      </c>
      <c r="C85" s="196" t="s">
        <v>269</v>
      </c>
      <c r="D85" s="196" t="s">
        <v>195</v>
      </c>
      <c r="E85" s="28">
        <v>37174421</v>
      </c>
      <c r="F85" s="153"/>
      <c r="G85" s="153">
        <v>22450000</v>
      </c>
      <c r="H85" s="153">
        <v>5604158</v>
      </c>
      <c r="I85" s="153">
        <v>960713</v>
      </c>
      <c r="J85" s="153">
        <v>8159550</v>
      </c>
    </row>
    <row r="86" spans="1:10" ht="90" x14ac:dyDescent="0.25">
      <c r="A86" s="154" t="s">
        <v>209</v>
      </c>
      <c r="B86" s="201">
        <v>45</v>
      </c>
      <c r="C86" s="196" t="s">
        <v>279</v>
      </c>
      <c r="D86" s="196" t="s">
        <v>197</v>
      </c>
      <c r="E86" s="28">
        <v>37174421</v>
      </c>
      <c r="F86" s="153"/>
      <c r="G86" s="153">
        <v>22450000</v>
      </c>
      <c r="H86" s="153">
        <v>5604158</v>
      </c>
      <c r="I86" s="153">
        <v>960713</v>
      </c>
      <c r="J86" s="153">
        <v>8159550</v>
      </c>
    </row>
    <row r="87" spans="1:10" ht="15" x14ac:dyDescent="0.25">
      <c r="A87" s="155">
        <v>4</v>
      </c>
      <c r="B87" s="201">
        <v>45</v>
      </c>
      <c r="C87" s="196" t="s">
        <v>215</v>
      </c>
      <c r="D87" s="196" t="s">
        <v>195</v>
      </c>
      <c r="E87" s="28">
        <v>6000000</v>
      </c>
      <c r="F87" s="153"/>
      <c r="G87" s="153">
        <v>2000000</v>
      </c>
      <c r="H87" s="153"/>
      <c r="I87" s="153">
        <v>2000000</v>
      </c>
      <c r="J87" s="153">
        <v>2000000</v>
      </c>
    </row>
    <row r="88" spans="1:10" ht="60" x14ac:dyDescent="0.25">
      <c r="A88" s="154" t="s">
        <v>214</v>
      </c>
      <c r="B88" s="201">
        <v>45</v>
      </c>
      <c r="C88" s="196" t="s">
        <v>228</v>
      </c>
      <c r="D88" s="196" t="s">
        <v>197</v>
      </c>
      <c r="E88" s="28">
        <v>6000000</v>
      </c>
      <c r="F88" s="153"/>
      <c r="G88" s="153">
        <v>2000000</v>
      </c>
      <c r="H88" s="153"/>
      <c r="I88" s="153">
        <v>2000000</v>
      </c>
      <c r="J88" s="153">
        <v>2000000</v>
      </c>
    </row>
    <row r="89" spans="1:10" ht="15" x14ac:dyDescent="0.25">
      <c r="A89" s="155">
        <v>1</v>
      </c>
      <c r="B89" s="201">
        <v>46</v>
      </c>
      <c r="C89" s="196" t="s">
        <v>208</v>
      </c>
      <c r="D89" s="196" t="s">
        <v>195</v>
      </c>
      <c r="E89" s="28">
        <v>10250000</v>
      </c>
      <c r="F89" s="153"/>
      <c r="G89" s="153">
        <v>3600000</v>
      </c>
      <c r="H89" s="153">
        <v>3000000</v>
      </c>
      <c r="I89" s="153">
        <v>650000</v>
      </c>
      <c r="J89" s="153">
        <v>3000000</v>
      </c>
    </row>
    <row r="90" spans="1:10" ht="60" x14ac:dyDescent="0.25">
      <c r="A90" s="154" t="s">
        <v>7</v>
      </c>
      <c r="B90" s="201">
        <v>46</v>
      </c>
      <c r="C90" s="196" t="s">
        <v>268</v>
      </c>
      <c r="D90" s="196" t="s">
        <v>197</v>
      </c>
      <c r="E90" s="28">
        <v>10250000</v>
      </c>
      <c r="F90" s="153"/>
      <c r="G90" s="153">
        <v>3600000</v>
      </c>
      <c r="H90" s="153">
        <v>3000000</v>
      </c>
      <c r="I90" s="153">
        <v>650000</v>
      </c>
      <c r="J90" s="153">
        <v>3000000</v>
      </c>
    </row>
    <row r="91" spans="1:10" ht="30" x14ac:dyDescent="0.25">
      <c r="A91" s="155">
        <v>2</v>
      </c>
      <c r="B91" s="201">
        <v>46</v>
      </c>
      <c r="C91" s="196" t="s">
        <v>269</v>
      </c>
      <c r="D91" s="196" t="s">
        <v>195</v>
      </c>
      <c r="E91" s="28">
        <v>35331006</v>
      </c>
      <c r="F91" s="153"/>
      <c r="G91" s="153">
        <v>7000000</v>
      </c>
      <c r="H91" s="153">
        <v>10189378</v>
      </c>
      <c r="I91" s="153">
        <v>1637645</v>
      </c>
      <c r="J91" s="153">
        <v>16503983</v>
      </c>
    </row>
    <row r="92" spans="1:10" ht="90" x14ac:dyDescent="0.25">
      <c r="A92" s="154" t="s">
        <v>206</v>
      </c>
      <c r="B92" s="201">
        <v>46</v>
      </c>
      <c r="C92" s="196" t="s">
        <v>279</v>
      </c>
      <c r="D92" s="196" t="s">
        <v>197</v>
      </c>
      <c r="E92" s="28">
        <v>35331006</v>
      </c>
      <c r="F92" s="153"/>
      <c r="G92" s="153">
        <v>7000000</v>
      </c>
      <c r="H92" s="153">
        <v>10189378</v>
      </c>
      <c r="I92" s="153">
        <v>1637645</v>
      </c>
      <c r="J92" s="153">
        <v>16503983</v>
      </c>
    </row>
    <row r="93" spans="1:10" ht="15" x14ac:dyDescent="0.25">
      <c r="A93" s="155">
        <v>3</v>
      </c>
      <c r="B93" s="201">
        <v>46</v>
      </c>
      <c r="C93" s="196" t="s">
        <v>215</v>
      </c>
      <c r="D93" s="196" t="s">
        <v>195</v>
      </c>
      <c r="E93" s="28">
        <v>500000</v>
      </c>
      <c r="F93" s="153"/>
      <c r="G93" s="153">
        <v>500000</v>
      </c>
      <c r="H93" s="153"/>
      <c r="I93" s="153"/>
      <c r="J93" s="153"/>
    </row>
    <row r="94" spans="1:10" ht="60" x14ac:dyDescent="0.25">
      <c r="A94" s="154" t="s">
        <v>209</v>
      </c>
      <c r="B94" s="201">
        <v>46</v>
      </c>
      <c r="C94" s="196" t="s">
        <v>228</v>
      </c>
      <c r="D94" s="196" t="s">
        <v>197</v>
      </c>
      <c r="E94" s="28">
        <v>500000</v>
      </c>
      <c r="F94" s="153"/>
      <c r="G94" s="153">
        <v>500000</v>
      </c>
      <c r="H94" s="153"/>
      <c r="I94" s="153"/>
      <c r="J94" s="153"/>
    </row>
    <row r="95" spans="1:10" ht="15" x14ac:dyDescent="0.25">
      <c r="A95" s="155">
        <v>1</v>
      </c>
      <c r="B95" s="201">
        <v>29</v>
      </c>
      <c r="C95" s="196" t="s">
        <v>229</v>
      </c>
      <c r="D95" s="196" t="s">
        <v>195</v>
      </c>
      <c r="E95" s="28">
        <v>12000000</v>
      </c>
      <c r="F95" s="153"/>
      <c r="G95" s="153">
        <v>2000000</v>
      </c>
      <c r="H95" s="153">
        <v>5000000</v>
      </c>
      <c r="I95" s="153">
        <v>2000000</v>
      </c>
      <c r="J95" s="153">
        <v>5000000</v>
      </c>
    </row>
    <row r="96" spans="1:10" ht="60" x14ac:dyDescent="0.25">
      <c r="A96" s="154" t="s">
        <v>7</v>
      </c>
      <c r="B96" s="201">
        <v>29</v>
      </c>
      <c r="C96" s="196" t="s">
        <v>230</v>
      </c>
      <c r="D96" s="196" t="s">
        <v>197</v>
      </c>
      <c r="E96" s="28">
        <v>12000000</v>
      </c>
      <c r="F96" s="153"/>
      <c r="G96" s="153">
        <v>2000000</v>
      </c>
      <c r="H96" s="153">
        <v>5000000</v>
      </c>
      <c r="I96" s="153">
        <v>2000000</v>
      </c>
      <c r="J96" s="153">
        <v>5000000</v>
      </c>
    </row>
    <row r="97" spans="1:10" ht="30" x14ac:dyDescent="0.25">
      <c r="A97" s="155">
        <v>1</v>
      </c>
      <c r="B97" s="201">
        <v>43</v>
      </c>
      <c r="C97" s="196" t="s">
        <v>194</v>
      </c>
      <c r="D97" s="196" t="s">
        <v>195</v>
      </c>
      <c r="E97" s="28">
        <v>5400000</v>
      </c>
      <c r="F97" s="153"/>
      <c r="G97" s="153">
        <v>1100000</v>
      </c>
      <c r="H97" s="153">
        <v>1700000</v>
      </c>
      <c r="I97" s="153">
        <v>600000</v>
      </c>
      <c r="J97" s="153">
        <v>2000000</v>
      </c>
    </row>
    <row r="98" spans="1:10" ht="60" x14ac:dyDescent="0.25">
      <c r="A98" s="154" t="s">
        <v>7</v>
      </c>
      <c r="B98" s="201">
        <v>43</v>
      </c>
      <c r="C98" s="196" t="s">
        <v>196</v>
      </c>
      <c r="D98" s="196" t="s">
        <v>197</v>
      </c>
      <c r="E98" s="28">
        <v>400000</v>
      </c>
      <c r="F98" s="153"/>
      <c r="G98" s="153"/>
      <c r="H98" s="153">
        <v>400000</v>
      </c>
      <c r="I98" s="153"/>
      <c r="J98" s="153"/>
    </row>
    <row r="99" spans="1:10" ht="60" x14ac:dyDescent="0.25">
      <c r="A99" s="154" t="s">
        <v>8</v>
      </c>
      <c r="B99" s="201">
        <v>43</v>
      </c>
      <c r="C99" s="196" t="s">
        <v>223</v>
      </c>
      <c r="D99" s="196" t="s">
        <v>197</v>
      </c>
      <c r="E99" s="28">
        <v>4100000</v>
      </c>
      <c r="F99" s="153"/>
      <c r="G99" s="153">
        <v>1100000</v>
      </c>
      <c r="H99" s="153">
        <v>1000000</v>
      </c>
      <c r="I99" s="153">
        <v>400000</v>
      </c>
      <c r="J99" s="153">
        <v>1600000</v>
      </c>
    </row>
    <row r="100" spans="1:10" ht="60" x14ac:dyDescent="0.25">
      <c r="A100" s="154" t="s">
        <v>198</v>
      </c>
      <c r="B100" s="201">
        <v>43</v>
      </c>
      <c r="C100" s="196" t="s">
        <v>283</v>
      </c>
      <c r="D100" s="196" t="s">
        <v>197</v>
      </c>
      <c r="E100" s="28">
        <v>900000</v>
      </c>
      <c r="F100" s="153"/>
      <c r="G100" s="153"/>
      <c r="H100" s="153">
        <v>300000</v>
      </c>
      <c r="I100" s="153">
        <v>200000</v>
      </c>
      <c r="J100" s="153">
        <v>400000</v>
      </c>
    </row>
    <row r="101" spans="1:10" ht="15" x14ac:dyDescent="0.25">
      <c r="A101" s="155">
        <v>2</v>
      </c>
      <c r="B101" s="201">
        <v>43</v>
      </c>
      <c r="C101" s="196" t="s">
        <v>208</v>
      </c>
      <c r="D101" s="196" t="s">
        <v>195</v>
      </c>
      <c r="E101" s="28">
        <v>10855100</v>
      </c>
      <c r="F101" s="153"/>
      <c r="G101" s="153">
        <v>4205100</v>
      </c>
      <c r="H101" s="153">
        <v>3000000</v>
      </c>
      <c r="I101" s="153">
        <v>650000</v>
      </c>
      <c r="J101" s="153">
        <v>3000000</v>
      </c>
    </row>
    <row r="102" spans="1:10" ht="60" x14ac:dyDescent="0.25">
      <c r="A102" s="154" t="s">
        <v>206</v>
      </c>
      <c r="B102" s="201">
        <v>43</v>
      </c>
      <c r="C102" s="196" t="s">
        <v>268</v>
      </c>
      <c r="D102" s="196" t="s">
        <v>197</v>
      </c>
      <c r="E102" s="28">
        <v>10855100</v>
      </c>
      <c r="F102" s="153"/>
      <c r="G102" s="153">
        <v>4205100</v>
      </c>
      <c r="H102" s="153">
        <v>3000000</v>
      </c>
      <c r="I102" s="153">
        <v>650000</v>
      </c>
      <c r="J102" s="153">
        <v>3000000</v>
      </c>
    </row>
    <row r="103" spans="1:10" ht="32.4" customHeight="1" x14ac:dyDescent="0.25">
      <c r="A103" s="155">
        <v>3</v>
      </c>
      <c r="B103" s="201">
        <v>43</v>
      </c>
      <c r="C103" s="196" t="s">
        <v>269</v>
      </c>
      <c r="D103" s="196" t="s">
        <v>195</v>
      </c>
      <c r="E103" s="28">
        <v>23644320</v>
      </c>
      <c r="F103" s="153"/>
      <c r="G103" s="153">
        <v>9541396</v>
      </c>
      <c r="H103" s="153">
        <v>5899113</v>
      </c>
      <c r="I103" s="153">
        <v>786038</v>
      </c>
      <c r="J103" s="153">
        <v>7417773</v>
      </c>
    </row>
    <row r="104" spans="1:10" ht="90" x14ac:dyDescent="0.25">
      <c r="A104" s="154" t="s">
        <v>209</v>
      </c>
      <c r="B104" s="201">
        <v>43</v>
      </c>
      <c r="C104" s="196" t="s">
        <v>279</v>
      </c>
      <c r="D104" s="196" t="s">
        <v>197</v>
      </c>
      <c r="E104" s="28">
        <v>23644320</v>
      </c>
      <c r="F104" s="153"/>
      <c r="G104" s="153">
        <v>9541396</v>
      </c>
      <c r="H104" s="153">
        <v>5899113</v>
      </c>
      <c r="I104" s="153">
        <v>786038</v>
      </c>
      <c r="J104" s="153">
        <v>7417773</v>
      </c>
    </row>
    <row r="105" spans="1:10" ht="30" x14ac:dyDescent="0.25">
      <c r="A105" s="155">
        <v>1</v>
      </c>
      <c r="B105" s="201">
        <v>36</v>
      </c>
      <c r="C105" s="196" t="s">
        <v>194</v>
      </c>
      <c r="D105" s="196" t="s">
        <v>195</v>
      </c>
      <c r="E105" s="28">
        <v>6380000</v>
      </c>
      <c r="F105" s="153"/>
      <c r="G105" s="153">
        <v>6380000</v>
      </c>
      <c r="H105" s="153"/>
      <c r="I105" s="153"/>
      <c r="J105" s="153"/>
    </row>
    <row r="106" spans="1:10" ht="60" x14ac:dyDescent="0.25">
      <c r="A106" s="154" t="s">
        <v>7</v>
      </c>
      <c r="B106" s="201">
        <v>36</v>
      </c>
      <c r="C106" s="196" t="s">
        <v>231</v>
      </c>
      <c r="D106" s="196" t="s">
        <v>395</v>
      </c>
      <c r="E106" s="28">
        <v>6380000</v>
      </c>
      <c r="F106" s="153"/>
      <c r="G106" s="153">
        <v>6380000</v>
      </c>
      <c r="H106" s="153"/>
      <c r="I106" s="153"/>
      <c r="J106" s="153"/>
    </row>
    <row r="107" spans="1:10" ht="30" x14ac:dyDescent="0.25">
      <c r="A107" s="155">
        <v>1</v>
      </c>
      <c r="B107" s="201">
        <v>27</v>
      </c>
      <c r="C107" s="196" t="s">
        <v>194</v>
      </c>
      <c r="D107" s="196" t="s">
        <v>195</v>
      </c>
      <c r="E107" s="28">
        <v>1155222643</v>
      </c>
      <c r="F107" s="153"/>
      <c r="G107" s="153">
        <v>702822643.08000004</v>
      </c>
      <c r="H107" s="153">
        <v>426400000</v>
      </c>
      <c r="I107" s="153">
        <v>26000000</v>
      </c>
      <c r="J107" s="153"/>
    </row>
    <row r="108" spans="1:10" ht="60" x14ac:dyDescent="0.25">
      <c r="A108" s="154" t="s">
        <v>7</v>
      </c>
      <c r="B108" s="201">
        <v>27</v>
      </c>
      <c r="C108" s="196" t="s">
        <v>284</v>
      </c>
      <c r="D108" s="196" t="s">
        <v>396</v>
      </c>
      <c r="E108" s="28">
        <v>1155222643</v>
      </c>
      <c r="F108" s="153"/>
      <c r="G108" s="153">
        <v>702822643.08000004</v>
      </c>
      <c r="H108" s="153">
        <v>426400000</v>
      </c>
      <c r="I108" s="153">
        <v>26000000</v>
      </c>
      <c r="J108" s="153"/>
    </row>
    <row r="109" spans="1:10" ht="15" x14ac:dyDescent="0.25">
      <c r="A109" s="155">
        <v>2</v>
      </c>
      <c r="B109" s="201">
        <v>27</v>
      </c>
      <c r="C109" s="196" t="s">
        <v>215</v>
      </c>
      <c r="D109" s="196" t="s">
        <v>195</v>
      </c>
      <c r="E109" s="28">
        <v>511110018</v>
      </c>
      <c r="F109" s="153"/>
      <c r="G109" s="153">
        <v>431887818</v>
      </c>
      <c r="H109" s="153">
        <v>79222200</v>
      </c>
      <c r="I109" s="153"/>
      <c r="J109" s="153"/>
    </row>
    <row r="110" spans="1:10" ht="60" x14ac:dyDescent="0.25">
      <c r="A110" s="154" t="s">
        <v>206</v>
      </c>
      <c r="B110" s="201">
        <v>27</v>
      </c>
      <c r="C110" s="196" t="s">
        <v>285</v>
      </c>
      <c r="D110" s="196" t="s">
        <v>197</v>
      </c>
      <c r="E110" s="28">
        <v>511110018</v>
      </c>
      <c r="F110" s="153"/>
      <c r="G110" s="153">
        <v>431887818</v>
      </c>
      <c r="H110" s="153">
        <v>79222200</v>
      </c>
      <c r="I110" s="153"/>
      <c r="J110" s="153"/>
    </row>
    <row r="111" spans="1:10" ht="15" x14ac:dyDescent="0.25">
      <c r="A111" s="155">
        <v>3</v>
      </c>
      <c r="B111" s="201">
        <v>27</v>
      </c>
      <c r="C111" s="196" t="s">
        <v>219</v>
      </c>
      <c r="D111" s="196" t="s">
        <v>195</v>
      </c>
      <c r="E111" s="28">
        <v>5000000</v>
      </c>
      <c r="F111" s="153"/>
      <c r="G111" s="153">
        <v>5000000</v>
      </c>
      <c r="H111" s="153"/>
      <c r="I111" s="153"/>
      <c r="J111" s="153"/>
    </row>
    <row r="112" spans="1:10" ht="90" x14ac:dyDescent="0.25">
      <c r="A112" s="154" t="s">
        <v>209</v>
      </c>
      <c r="B112" s="201">
        <v>27</v>
      </c>
      <c r="C112" s="196" t="s">
        <v>286</v>
      </c>
      <c r="D112" s="196" t="s">
        <v>197</v>
      </c>
      <c r="E112" s="28">
        <v>5000000</v>
      </c>
      <c r="F112" s="153"/>
      <c r="G112" s="153">
        <v>5000000</v>
      </c>
      <c r="H112" s="153"/>
      <c r="I112" s="153"/>
      <c r="J112" s="153"/>
    </row>
    <row r="113" spans="1:10" ht="15" x14ac:dyDescent="0.25">
      <c r="A113" s="155">
        <v>4</v>
      </c>
      <c r="B113" s="201">
        <v>27</v>
      </c>
      <c r="C113" s="196" t="s">
        <v>287</v>
      </c>
      <c r="D113" s="196" t="s">
        <v>195</v>
      </c>
      <c r="E113" s="28">
        <v>40000000</v>
      </c>
      <c r="F113" s="153"/>
      <c r="G113" s="153"/>
      <c r="H113" s="153">
        <v>15000000</v>
      </c>
      <c r="I113" s="153">
        <v>10000000</v>
      </c>
      <c r="J113" s="153">
        <v>15000000</v>
      </c>
    </row>
    <row r="114" spans="1:10" ht="60" x14ac:dyDescent="0.25">
      <c r="A114" s="154" t="s">
        <v>214</v>
      </c>
      <c r="B114" s="201">
        <v>27</v>
      </c>
      <c r="C114" s="196" t="s">
        <v>386</v>
      </c>
      <c r="D114" s="196" t="s">
        <v>197</v>
      </c>
      <c r="E114" s="28">
        <v>40000000</v>
      </c>
      <c r="F114" s="153"/>
      <c r="G114" s="153"/>
      <c r="H114" s="153">
        <v>15000000</v>
      </c>
      <c r="I114" s="153">
        <v>10000000</v>
      </c>
      <c r="J114" s="153">
        <v>15000000</v>
      </c>
    </row>
    <row r="115" spans="1:10" ht="15" x14ac:dyDescent="0.25">
      <c r="A115" s="155">
        <v>1</v>
      </c>
      <c r="B115" s="201">
        <v>32</v>
      </c>
      <c r="C115" s="196" t="s">
        <v>219</v>
      </c>
      <c r="D115" s="196" t="s">
        <v>195</v>
      </c>
      <c r="E115" s="28">
        <v>26313656.670000002</v>
      </c>
      <c r="F115" s="153"/>
      <c r="G115" s="153">
        <v>14313656.67</v>
      </c>
      <c r="H115" s="153">
        <v>2000000</v>
      </c>
      <c r="I115" s="153">
        <v>4000000</v>
      </c>
      <c r="J115" s="153">
        <v>6000000</v>
      </c>
    </row>
    <row r="116" spans="1:10" ht="90" x14ac:dyDescent="0.25">
      <c r="A116" s="154" t="s">
        <v>7</v>
      </c>
      <c r="B116" s="201">
        <v>32</v>
      </c>
      <c r="C116" s="196" t="s">
        <v>270</v>
      </c>
      <c r="D116" s="196" t="s">
        <v>197</v>
      </c>
      <c r="E116" s="28">
        <v>26313656.670000002</v>
      </c>
      <c r="F116" s="153"/>
      <c r="G116" s="153">
        <v>14313656.67</v>
      </c>
      <c r="H116" s="153">
        <v>2000000</v>
      </c>
      <c r="I116" s="153">
        <v>4000000</v>
      </c>
      <c r="J116" s="153">
        <v>6000000</v>
      </c>
    </row>
    <row r="117" spans="1:10" ht="30" x14ac:dyDescent="0.25">
      <c r="A117" s="155">
        <v>1</v>
      </c>
      <c r="B117" s="201">
        <v>28</v>
      </c>
      <c r="C117" s="196" t="s">
        <v>194</v>
      </c>
      <c r="D117" s="196" t="s">
        <v>195</v>
      </c>
      <c r="E117" s="28">
        <v>21411954</v>
      </c>
      <c r="F117" s="153"/>
      <c r="G117" s="153">
        <v>9011954</v>
      </c>
      <c r="H117" s="153">
        <v>4000000</v>
      </c>
      <c r="I117" s="153">
        <v>400000</v>
      </c>
      <c r="J117" s="153">
        <v>8000000</v>
      </c>
    </row>
    <row r="118" spans="1:10" ht="60" x14ac:dyDescent="0.25">
      <c r="A118" s="154" t="s">
        <v>7</v>
      </c>
      <c r="B118" s="201">
        <v>28</v>
      </c>
      <c r="C118" s="196" t="s">
        <v>261</v>
      </c>
      <c r="D118" s="196" t="s">
        <v>197</v>
      </c>
      <c r="E118" s="28">
        <v>1711954</v>
      </c>
      <c r="F118" s="153"/>
      <c r="G118" s="153">
        <v>511954</v>
      </c>
      <c r="H118" s="153"/>
      <c r="I118" s="153">
        <v>200000</v>
      </c>
      <c r="J118" s="153">
        <v>1000000</v>
      </c>
    </row>
    <row r="119" spans="1:10" ht="60" x14ac:dyDescent="0.25">
      <c r="A119" s="154" t="s">
        <v>8</v>
      </c>
      <c r="B119" s="201">
        <v>28</v>
      </c>
      <c r="C119" s="196" t="s">
        <v>223</v>
      </c>
      <c r="D119" s="196" t="s">
        <v>197</v>
      </c>
      <c r="E119" s="28">
        <v>19700000</v>
      </c>
      <c r="F119" s="153"/>
      <c r="G119" s="153">
        <v>8500000</v>
      </c>
      <c r="H119" s="153">
        <v>4000000</v>
      </c>
      <c r="I119" s="153">
        <v>200000</v>
      </c>
      <c r="J119" s="153">
        <v>7000000</v>
      </c>
    </row>
    <row r="120" spans="1:10" ht="15" x14ac:dyDescent="0.25">
      <c r="A120" s="155">
        <v>2</v>
      </c>
      <c r="B120" s="201">
        <v>28</v>
      </c>
      <c r="C120" s="196" t="s">
        <v>232</v>
      </c>
      <c r="D120" s="196" t="s">
        <v>195</v>
      </c>
      <c r="E120" s="28">
        <v>14500000</v>
      </c>
      <c r="F120" s="153"/>
      <c r="G120" s="153">
        <v>2500000</v>
      </c>
      <c r="H120" s="153">
        <v>5000000</v>
      </c>
      <c r="I120" s="153">
        <v>2000000</v>
      </c>
      <c r="J120" s="153">
        <v>5000000</v>
      </c>
    </row>
    <row r="121" spans="1:10" ht="75" x14ac:dyDescent="0.25">
      <c r="A121" s="154" t="s">
        <v>206</v>
      </c>
      <c r="B121" s="201">
        <v>28</v>
      </c>
      <c r="C121" s="196" t="s">
        <v>288</v>
      </c>
      <c r="D121" s="196" t="s">
        <v>289</v>
      </c>
      <c r="E121" s="28">
        <v>14500000</v>
      </c>
      <c r="F121" s="153"/>
      <c r="G121" s="153">
        <v>2500000</v>
      </c>
      <c r="H121" s="153">
        <v>5000000</v>
      </c>
      <c r="I121" s="153">
        <v>2000000</v>
      </c>
      <c r="J121" s="153">
        <v>5000000</v>
      </c>
    </row>
    <row r="122" spans="1:10" ht="15" x14ac:dyDescent="0.25">
      <c r="A122" s="155">
        <v>1</v>
      </c>
      <c r="B122" s="201">
        <v>25</v>
      </c>
      <c r="C122" s="196" t="s">
        <v>217</v>
      </c>
      <c r="D122" s="196" t="s">
        <v>195</v>
      </c>
      <c r="E122" s="28">
        <v>1000000</v>
      </c>
      <c r="F122" s="153"/>
      <c r="G122" s="153">
        <v>1000000</v>
      </c>
      <c r="H122" s="153"/>
      <c r="I122" s="153"/>
      <c r="J122" s="153"/>
    </row>
    <row r="123" spans="1:10" ht="129" customHeight="1" x14ac:dyDescent="0.25">
      <c r="A123" s="154" t="s">
        <v>7</v>
      </c>
      <c r="B123" s="201">
        <v>25</v>
      </c>
      <c r="C123" s="196" t="s">
        <v>387</v>
      </c>
      <c r="D123" s="196" t="s">
        <v>197</v>
      </c>
      <c r="E123" s="28">
        <v>1000000</v>
      </c>
      <c r="F123" s="153"/>
      <c r="G123" s="153">
        <v>1000000</v>
      </c>
      <c r="H123" s="153"/>
      <c r="I123" s="153"/>
      <c r="J123" s="153"/>
    </row>
    <row r="124" spans="1:10" ht="30" x14ac:dyDescent="0.25">
      <c r="A124" s="155">
        <v>1</v>
      </c>
      <c r="B124" s="201">
        <v>47</v>
      </c>
      <c r="C124" s="196" t="s">
        <v>194</v>
      </c>
      <c r="D124" s="196" t="s">
        <v>195</v>
      </c>
      <c r="E124" s="28">
        <v>3000000</v>
      </c>
      <c r="F124" s="153"/>
      <c r="G124" s="153">
        <v>1000000</v>
      </c>
      <c r="H124" s="153">
        <v>900000</v>
      </c>
      <c r="I124" s="153">
        <v>100000</v>
      </c>
      <c r="J124" s="153">
        <v>1000000</v>
      </c>
    </row>
    <row r="125" spans="1:10" ht="60" x14ac:dyDescent="0.25">
      <c r="A125" s="154" t="s">
        <v>7</v>
      </c>
      <c r="B125" s="201">
        <v>47</v>
      </c>
      <c r="C125" s="196" t="s">
        <v>196</v>
      </c>
      <c r="D125" s="196" t="s">
        <v>197</v>
      </c>
      <c r="E125" s="28">
        <v>500000</v>
      </c>
      <c r="F125" s="153"/>
      <c r="G125" s="153">
        <v>500000</v>
      </c>
      <c r="H125" s="153"/>
      <c r="I125" s="153"/>
      <c r="J125" s="153"/>
    </row>
    <row r="126" spans="1:10" ht="60" x14ac:dyDescent="0.25">
      <c r="A126" s="154" t="s">
        <v>8</v>
      </c>
      <c r="B126" s="201">
        <v>47</v>
      </c>
      <c r="C126" s="196" t="s">
        <v>290</v>
      </c>
      <c r="D126" s="196" t="s">
        <v>197</v>
      </c>
      <c r="E126" s="28">
        <v>2500000</v>
      </c>
      <c r="F126" s="153"/>
      <c r="G126" s="153">
        <v>500000</v>
      </c>
      <c r="H126" s="153">
        <v>900000</v>
      </c>
      <c r="I126" s="153">
        <v>100000</v>
      </c>
      <c r="J126" s="153">
        <v>1000000</v>
      </c>
    </row>
    <row r="127" spans="1:10" ht="30" x14ac:dyDescent="0.25">
      <c r="A127" s="155">
        <v>1</v>
      </c>
      <c r="B127" s="201">
        <v>19</v>
      </c>
      <c r="C127" s="196" t="s">
        <v>194</v>
      </c>
      <c r="D127" s="196" t="s">
        <v>195</v>
      </c>
      <c r="E127" s="28">
        <v>40512947.009999998</v>
      </c>
      <c r="F127" s="153"/>
      <c r="G127" s="153">
        <v>36312947.009999998</v>
      </c>
      <c r="H127" s="153">
        <v>2000000</v>
      </c>
      <c r="I127" s="153">
        <v>200000</v>
      </c>
      <c r="J127" s="153">
        <v>2000000</v>
      </c>
    </row>
    <row r="128" spans="1:10" ht="60" x14ac:dyDescent="0.25">
      <c r="A128" s="154" t="s">
        <v>7</v>
      </c>
      <c r="B128" s="201">
        <v>19</v>
      </c>
      <c r="C128" s="196" t="s">
        <v>291</v>
      </c>
      <c r="D128" s="196" t="s">
        <v>197</v>
      </c>
      <c r="E128" s="28">
        <v>40512947.009999998</v>
      </c>
      <c r="F128" s="153"/>
      <c r="G128" s="153">
        <v>36312947.009999998</v>
      </c>
      <c r="H128" s="153">
        <v>2000000</v>
      </c>
      <c r="I128" s="153">
        <v>200000</v>
      </c>
      <c r="J128" s="153">
        <v>2000000</v>
      </c>
    </row>
    <row r="129" spans="1:19" ht="30" x14ac:dyDescent="0.25">
      <c r="A129" s="155">
        <v>2</v>
      </c>
      <c r="B129" s="201">
        <v>19</v>
      </c>
      <c r="C129" s="196" t="s">
        <v>269</v>
      </c>
      <c r="D129" s="196" t="s">
        <v>195</v>
      </c>
      <c r="E129" s="28">
        <v>995353300.03999996</v>
      </c>
      <c r="F129" s="153"/>
      <c r="G129" s="153">
        <v>433913400.04000002</v>
      </c>
      <c r="H129" s="153">
        <v>234642700</v>
      </c>
      <c r="I129" s="153">
        <v>44031300</v>
      </c>
      <c r="J129" s="153">
        <v>282765900</v>
      </c>
    </row>
    <row r="130" spans="1:19" ht="90" x14ac:dyDescent="0.25">
      <c r="A130" s="154" t="s">
        <v>206</v>
      </c>
      <c r="B130" s="201">
        <v>19</v>
      </c>
      <c r="C130" s="196" t="s">
        <v>279</v>
      </c>
      <c r="D130" s="196" t="s">
        <v>197</v>
      </c>
      <c r="E130" s="28">
        <v>846423000.03999996</v>
      </c>
      <c r="F130" s="153"/>
      <c r="G130" s="153">
        <v>404793400.04000002</v>
      </c>
      <c r="H130" s="153">
        <v>176904300</v>
      </c>
      <c r="I130" s="153">
        <v>37032000</v>
      </c>
      <c r="J130" s="153">
        <v>227693300</v>
      </c>
    </row>
    <row r="131" spans="1:19" ht="60" x14ac:dyDescent="0.25">
      <c r="A131" s="154" t="s">
        <v>224</v>
      </c>
      <c r="B131" s="201">
        <v>19</v>
      </c>
      <c r="C131" s="196" t="s">
        <v>233</v>
      </c>
      <c r="D131" s="196" t="s">
        <v>197</v>
      </c>
      <c r="E131" s="28">
        <v>148930300</v>
      </c>
      <c r="F131" s="153"/>
      <c r="G131" s="153">
        <v>29120000</v>
      </c>
      <c r="H131" s="153">
        <v>57738400</v>
      </c>
      <c r="I131" s="153">
        <v>6999300</v>
      </c>
      <c r="J131" s="153">
        <v>55072600</v>
      </c>
    </row>
    <row r="132" spans="1:19" ht="30" x14ac:dyDescent="0.25">
      <c r="A132" s="155">
        <v>1</v>
      </c>
      <c r="B132" s="201">
        <v>11</v>
      </c>
      <c r="C132" s="196" t="s">
        <v>292</v>
      </c>
      <c r="D132" s="196" t="s">
        <v>195</v>
      </c>
      <c r="E132" s="28">
        <v>53200255</v>
      </c>
      <c r="F132" s="153"/>
      <c r="G132" s="153">
        <v>15200255</v>
      </c>
      <c r="H132" s="153">
        <v>20000000</v>
      </c>
      <c r="I132" s="153">
        <v>8000000</v>
      </c>
      <c r="J132" s="153">
        <v>10000000</v>
      </c>
      <c r="M132" s="96"/>
      <c r="N132" s="96"/>
      <c r="O132" s="96"/>
      <c r="P132" s="96"/>
      <c r="Q132" s="96"/>
      <c r="R132" s="96"/>
      <c r="S132" s="96"/>
    </row>
    <row r="133" spans="1:19" ht="60" x14ac:dyDescent="0.25">
      <c r="A133" s="154" t="s">
        <v>7</v>
      </c>
      <c r="B133" s="201">
        <v>11</v>
      </c>
      <c r="C133" s="196" t="s">
        <v>293</v>
      </c>
      <c r="D133" s="196" t="s">
        <v>384</v>
      </c>
      <c r="E133" s="28">
        <v>53200255</v>
      </c>
      <c r="F133" s="153"/>
      <c r="G133" s="153">
        <v>15200255</v>
      </c>
      <c r="H133" s="153">
        <v>20000000</v>
      </c>
      <c r="I133" s="153">
        <v>8000000</v>
      </c>
      <c r="J133" s="153">
        <v>10000000</v>
      </c>
    </row>
    <row r="134" spans="1:19" ht="30" x14ac:dyDescent="0.25">
      <c r="A134" s="155">
        <v>1</v>
      </c>
      <c r="B134" s="201">
        <v>34</v>
      </c>
      <c r="C134" s="196" t="s">
        <v>294</v>
      </c>
      <c r="D134" s="196" t="s">
        <v>195</v>
      </c>
      <c r="E134" s="28">
        <v>23043884</v>
      </c>
      <c r="F134" s="153"/>
      <c r="G134" s="153">
        <v>6043884</v>
      </c>
      <c r="H134" s="153">
        <v>7000000</v>
      </c>
      <c r="I134" s="153">
        <v>5000000</v>
      </c>
      <c r="J134" s="153">
        <v>5000000</v>
      </c>
    </row>
    <row r="135" spans="1:19" ht="105" x14ac:dyDescent="0.25">
      <c r="A135" s="154" t="s">
        <v>7</v>
      </c>
      <c r="B135" s="201">
        <v>34</v>
      </c>
      <c r="C135" s="196" t="s">
        <v>295</v>
      </c>
      <c r="D135" s="196" t="s">
        <v>197</v>
      </c>
      <c r="E135" s="28">
        <v>23043884</v>
      </c>
      <c r="F135" s="153"/>
      <c r="G135" s="153">
        <v>6043884</v>
      </c>
      <c r="H135" s="153">
        <v>7000000</v>
      </c>
      <c r="I135" s="153">
        <v>5000000</v>
      </c>
      <c r="J135" s="153">
        <v>5000000</v>
      </c>
    </row>
    <row r="136" spans="1:19" s="93" customFormat="1" ht="22.5" customHeight="1" x14ac:dyDescent="0.25">
      <c r="A136" s="69" t="s">
        <v>9</v>
      </c>
      <c r="B136" s="43" t="s">
        <v>51</v>
      </c>
      <c r="C136" s="43" t="s">
        <v>9</v>
      </c>
      <c r="D136" s="43" t="s">
        <v>9</v>
      </c>
      <c r="E136" s="29">
        <v>6912951739.460001</v>
      </c>
      <c r="F136" s="141"/>
      <c r="G136" s="141">
        <v>2965376639.54</v>
      </c>
      <c r="H136" s="141">
        <v>1659228300</v>
      </c>
      <c r="I136" s="141">
        <v>513652000</v>
      </c>
      <c r="J136" s="141">
        <v>1776694800</v>
      </c>
    </row>
    <row r="137" spans="1:19" ht="17.399999999999999" x14ac:dyDescent="0.3">
      <c r="A137" s="94"/>
      <c r="B137" s="98"/>
      <c r="C137" s="98"/>
      <c r="D137" s="98"/>
      <c r="E137" s="98"/>
      <c r="G137" s="96"/>
    </row>
    <row r="138" spans="1:19" ht="80.400000000000006" customHeight="1" x14ac:dyDescent="0.25">
      <c r="A138" s="99"/>
      <c r="B138" s="99"/>
      <c r="C138" s="99"/>
      <c r="D138" s="99"/>
      <c r="E138" s="99"/>
      <c r="F138" s="99"/>
      <c r="G138" s="99"/>
      <c r="H138" s="99"/>
      <c r="I138" s="99"/>
      <c r="J138" s="99"/>
    </row>
    <row r="139" spans="1:19" s="10" customFormat="1" ht="17.399999999999999" x14ac:dyDescent="0.25">
      <c r="A139" s="33" t="s">
        <v>167</v>
      </c>
      <c r="B139" s="34"/>
      <c r="C139" s="35"/>
      <c r="D139" s="36"/>
      <c r="E139" s="36"/>
      <c r="F139" s="22"/>
      <c r="G139" s="22"/>
      <c r="H139" s="36" t="s">
        <v>168</v>
      </c>
    </row>
    <row r="140" spans="1:19" s="10" customFormat="1" ht="45.6" customHeight="1" x14ac:dyDescent="0.3">
      <c r="A140" s="36"/>
      <c r="B140" s="34"/>
      <c r="C140" s="34"/>
      <c r="D140" s="37"/>
      <c r="E140" s="37"/>
      <c r="F140" s="22"/>
      <c r="G140" s="22"/>
      <c r="H140" s="37"/>
    </row>
    <row r="141" spans="1:19" s="10" customFormat="1" ht="17.399999999999999" x14ac:dyDescent="0.3">
      <c r="A141" s="38" t="s">
        <v>169</v>
      </c>
      <c r="B141" s="38"/>
      <c r="C141" s="38"/>
      <c r="D141" s="39"/>
      <c r="E141" s="39"/>
      <c r="H141" s="39"/>
    </row>
    <row r="142" spans="1:19" s="10" customFormat="1" ht="17.399999999999999" x14ac:dyDescent="0.3">
      <c r="A142" s="38" t="s">
        <v>170</v>
      </c>
      <c r="B142" s="38"/>
      <c r="C142" s="38"/>
      <c r="D142" s="39"/>
      <c r="E142" s="39"/>
      <c r="H142" s="39" t="s">
        <v>171</v>
      </c>
      <c r="I142" s="22"/>
      <c r="J142" s="22"/>
    </row>
    <row r="143" spans="1:19" s="10" customFormat="1" ht="52.2" customHeight="1" x14ac:dyDescent="0.3">
      <c r="A143" s="38"/>
      <c r="B143" s="38"/>
      <c r="C143" s="38"/>
      <c r="D143" s="39"/>
      <c r="E143" s="39"/>
      <c r="H143" s="39"/>
    </row>
    <row r="144" spans="1:19" s="10" customFormat="1" ht="17.399999999999999" x14ac:dyDescent="0.3">
      <c r="A144" s="40" t="s">
        <v>172</v>
      </c>
      <c r="B144" s="40"/>
      <c r="C144" s="40"/>
      <c r="D144" s="38"/>
      <c r="E144" s="38"/>
      <c r="H144" s="38"/>
    </row>
    <row r="145" spans="1:10" s="10" customFormat="1" ht="17.399999999999999" x14ac:dyDescent="0.3">
      <c r="A145" s="36" t="s">
        <v>173</v>
      </c>
      <c r="B145" s="36"/>
      <c r="C145" s="36"/>
      <c r="D145" s="39"/>
      <c r="E145" s="39"/>
      <c r="H145" s="39" t="s">
        <v>174</v>
      </c>
    </row>
    <row r="146" spans="1:10" ht="17.399999999999999" x14ac:dyDescent="0.3">
      <c r="H146" s="97"/>
    </row>
    <row r="148" spans="1:10" x14ac:dyDescent="0.25">
      <c r="E148" s="96"/>
      <c r="F148" s="96"/>
      <c r="G148" s="96"/>
      <c r="H148" s="96"/>
      <c r="I148" s="96"/>
      <c r="J148" s="96"/>
    </row>
    <row r="149" spans="1:10" x14ac:dyDescent="0.25">
      <c r="E149" s="96"/>
      <c r="F149" s="96"/>
      <c r="G149" s="96"/>
      <c r="H149" s="96"/>
      <c r="I149" s="96"/>
      <c r="J149" s="96"/>
    </row>
    <row r="150" spans="1:10" ht="15" customHeight="1" x14ac:dyDescent="0.25"/>
    <row r="151" spans="1:10" x14ac:dyDescent="0.25">
      <c r="E151" s="100"/>
      <c r="F151" s="100"/>
      <c r="G151" s="100"/>
      <c r="H151" s="100"/>
      <c r="I151" s="100"/>
      <c r="J151" s="100"/>
    </row>
    <row r="152" spans="1:10" x14ac:dyDescent="0.25">
      <c r="E152" s="95"/>
      <c r="F152" s="95"/>
      <c r="G152" s="95"/>
      <c r="H152" s="95"/>
      <c r="I152" s="95"/>
      <c r="J152" s="95"/>
    </row>
  </sheetData>
  <mergeCells count="12">
    <mergeCell ref="I1:J1"/>
    <mergeCell ref="I2:J2"/>
    <mergeCell ref="A10:A11"/>
    <mergeCell ref="B10:B11"/>
    <mergeCell ref="A5:J5"/>
    <mergeCell ref="A9:J9"/>
    <mergeCell ref="A7:B7"/>
    <mergeCell ref="A8:B8"/>
    <mergeCell ref="D10:D11"/>
    <mergeCell ref="C10:C11"/>
    <mergeCell ref="E10:E11"/>
    <mergeCell ref="F10:J10"/>
  </mergeCells>
  <printOptions horizontalCentered="1"/>
  <pageMargins left="0.19685039370078741" right="0.19685039370078741" top="1.1811023622047245" bottom="0.5905511811023622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11</vt:i4>
      </vt:variant>
      <vt:variant>
        <vt:lpstr>Іменовані діапазони</vt:lpstr>
      </vt:variant>
      <vt:variant>
        <vt:i4>19</vt:i4>
      </vt:variant>
    </vt:vector>
  </HeadingPairs>
  <TitlesOfParts>
    <vt:vector size="30" baseType="lpstr">
      <vt:lpstr>додаток 1</vt:lpstr>
      <vt:lpstr>додаток 2</vt:lpstr>
      <vt:lpstr>додаток 3</vt:lpstr>
      <vt:lpstr>додаток 4</vt:lpstr>
      <vt:lpstr>додаток 5</vt:lpstr>
      <vt:lpstr>додаток 6</vt:lpstr>
      <vt:lpstr>додаток 7</vt:lpstr>
      <vt:lpstr>додаток 8</vt:lpstr>
      <vt:lpstr>додаток 9</vt:lpstr>
      <vt:lpstr>додаток 10</vt:lpstr>
      <vt:lpstr>додаток 11</vt:lpstr>
      <vt:lpstr>'додаток 7'!_ftnref1</vt:lpstr>
      <vt:lpstr>'додаток 9'!_GoBack</vt:lpstr>
      <vt:lpstr>'додаток 10'!Заголовки_для_друку</vt:lpstr>
      <vt:lpstr>'додаток 11'!Заголовки_для_друку</vt:lpstr>
      <vt:lpstr>'додаток 2'!Заголовки_для_друку</vt:lpstr>
      <vt:lpstr>'додаток 3'!Заголовки_для_друку</vt:lpstr>
      <vt:lpstr>'додаток 6'!Заголовки_для_друку</vt:lpstr>
      <vt:lpstr>'додаток 9'!Заголовки_для_друку</vt:lpstr>
      <vt:lpstr>'додаток 1'!Область_друку</vt:lpstr>
      <vt:lpstr>'додаток 10'!Область_друку</vt:lpstr>
      <vt:lpstr>'додаток 11'!Область_друку</vt:lpstr>
      <vt:lpstr>'додаток 2'!Область_друку</vt:lpstr>
      <vt:lpstr>'додаток 3'!Область_друку</vt:lpstr>
      <vt:lpstr>'додаток 4'!Область_друку</vt:lpstr>
      <vt:lpstr>'додаток 5'!Область_друку</vt:lpstr>
      <vt:lpstr>'додаток 6'!Область_друку</vt:lpstr>
      <vt:lpstr>'додаток 7'!Область_друку</vt:lpstr>
      <vt:lpstr>'додаток 8'!Область_друку</vt:lpstr>
      <vt:lpstr>'додаток 9'!Область_друку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2026-09-04T06:32:32Z</dcterms:modified>
</cp:coreProperties>
</file>